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1340" yWindow="1380" windowWidth="9150" windowHeight="7335" activeTab="3"/>
  </bookViews>
  <sheets>
    <sheet name="УЧИТ" sheetId="11" r:id="rId1"/>
    <sheet name="УЧИТ (санат)" sheetId="12" r:id="rId2"/>
    <sheet name="пед.раб" sheetId="5" r:id="rId3"/>
    <sheet name="увсп" sheetId="7" r:id="rId4"/>
    <sheet name="обсл " sheetId="13" r:id="rId5"/>
    <sheet name="адм" sheetId="8" r:id="rId6"/>
  </sheets>
  <definedNames>
    <definedName name="_xlnm.Print_Area" localSheetId="5">адм!$A$1:$M$22</definedName>
    <definedName name="_xlnm.Print_Area" localSheetId="4">'обсл '!$A$1:$AA$34</definedName>
    <definedName name="_xlnm.Print_Area" localSheetId="2">пед.раб!$A$1:$AF$29</definedName>
    <definedName name="_xlnm.Print_Area" localSheetId="3">увсп!$A$1:$S$22</definedName>
    <definedName name="_xlnm.Print_Area" localSheetId="0">УЧИТ!$A$1:$BM$70</definedName>
    <definedName name="_xlnm.Print_Area" localSheetId="1">'УЧИТ (санат)'!$A$1:$BL$27</definedName>
  </definedNames>
  <calcPr calcId="124519"/>
</workbook>
</file>

<file path=xl/calcChain.xml><?xml version="1.0" encoding="utf-8"?>
<calcChain xmlns="http://schemas.openxmlformats.org/spreadsheetml/2006/main">
  <c r="AA30" i="13"/>
  <c r="L30"/>
  <c r="M30"/>
  <c r="S30" s="1"/>
  <c r="U30" l="1"/>
  <c r="V30" s="1"/>
  <c r="X30" s="1"/>
  <c r="BJ13" i="11"/>
  <c r="BJ14"/>
  <c r="BJ16"/>
  <c r="BJ18"/>
  <c r="BJ19"/>
  <c r="BJ21"/>
  <c r="BJ22"/>
  <c r="BJ23"/>
  <c r="BJ24"/>
  <c r="BJ26"/>
  <c r="BJ28"/>
  <c r="BJ30"/>
  <c r="BJ31"/>
  <c r="BJ33"/>
  <c r="BJ34"/>
  <c r="BJ38"/>
  <c r="BJ41"/>
  <c r="BJ42"/>
  <c r="BJ43"/>
  <c r="BJ44"/>
  <c r="BJ45"/>
  <c r="BJ46"/>
  <c r="BJ47"/>
  <c r="BJ48"/>
  <c r="BJ49"/>
  <c r="BJ52"/>
  <c r="BJ54"/>
  <c r="BB48"/>
  <c r="BD48" s="1"/>
  <c r="BE48" s="1"/>
  <c r="BB49"/>
  <c r="BB52"/>
  <c r="BD14"/>
  <c r="BE14" s="1"/>
  <c r="BF14" s="1"/>
  <c r="BG14"/>
  <c r="BD16"/>
  <c r="BE16" s="1"/>
  <c r="BF16" s="1"/>
  <c r="BG16"/>
  <c r="BD18"/>
  <c r="BE18" s="1"/>
  <c r="BF18" s="1"/>
  <c r="BG18"/>
  <c r="BD21"/>
  <c r="BE21" s="1"/>
  <c r="BF21" s="1"/>
  <c r="BD22"/>
  <c r="BE22" s="1"/>
  <c r="BF22" s="1"/>
  <c r="BG22"/>
  <c r="BD23"/>
  <c r="BE23" s="1"/>
  <c r="BF23" s="1"/>
  <c r="BD26"/>
  <c r="BE26" s="1"/>
  <c r="BF26" s="1"/>
  <c r="BG26"/>
  <c r="BD28"/>
  <c r="BE28" s="1"/>
  <c r="BF28" s="1"/>
  <c r="BG28"/>
  <c r="BD30"/>
  <c r="BE30" s="1"/>
  <c r="BF30" s="1"/>
  <c r="BG30"/>
  <c r="BD31"/>
  <c r="BE31" s="1"/>
  <c r="BF31" s="1"/>
  <c r="BD33"/>
  <c r="BE33" s="1"/>
  <c r="BF33" s="1"/>
  <c r="BD38"/>
  <c r="BE38" s="1"/>
  <c r="BF38" s="1"/>
  <c r="BG38"/>
  <c r="BD41"/>
  <c r="BE41" s="1"/>
  <c r="BF41" s="1"/>
  <c r="BD42"/>
  <c r="BE42" s="1"/>
  <c r="BF42" s="1"/>
  <c r="BG42"/>
  <c r="BD43"/>
  <c r="BE43" s="1"/>
  <c r="BF43" s="1"/>
  <c r="BD44"/>
  <c r="BE44" s="1"/>
  <c r="BF44" s="1"/>
  <c r="BG44"/>
  <c r="BD45"/>
  <c r="BE45" s="1"/>
  <c r="BF45" s="1"/>
  <c r="BD46"/>
  <c r="BD49"/>
  <c r="BE49" s="1"/>
  <c r="BF49" s="1"/>
  <c r="BD52"/>
  <c r="BE52" s="1"/>
  <c r="BD54"/>
  <c r="BE54" s="1"/>
  <c r="BF54"/>
  <c r="BG54"/>
  <c r="BB16"/>
  <c r="BI11"/>
  <c r="BJ11" s="1"/>
  <c r="BI12"/>
  <c r="BJ12" s="1"/>
  <c r="BI13"/>
  <c r="BI14"/>
  <c r="BI15"/>
  <c r="BB15" s="1"/>
  <c r="BI16"/>
  <c r="BI17"/>
  <c r="BJ17" s="1"/>
  <c r="BI18"/>
  <c r="BI19"/>
  <c r="BI20"/>
  <c r="BJ20" s="1"/>
  <c r="BI21"/>
  <c r="BI22"/>
  <c r="BI23"/>
  <c r="BB23" s="1"/>
  <c r="BI24"/>
  <c r="BI25"/>
  <c r="BB25" s="1"/>
  <c r="BI26"/>
  <c r="BI27"/>
  <c r="BB27" s="1"/>
  <c r="BI28"/>
  <c r="BI29"/>
  <c r="BB29" s="1"/>
  <c r="BI30"/>
  <c r="BI31"/>
  <c r="BB31" s="1"/>
  <c r="BI32"/>
  <c r="BJ32" s="1"/>
  <c r="BI33"/>
  <c r="BI34"/>
  <c r="BB34" s="1"/>
  <c r="BI35"/>
  <c r="BB35" s="1"/>
  <c r="BI36"/>
  <c r="BJ36" s="1"/>
  <c r="BI37"/>
  <c r="BB37" s="1"/>
  <c r="BI38"/>
  <c r="BB38" s="1"/>
  <c r="BI39"/>
  <c r="BJ39" s="1"/>
  <c r="BI40"/>
  <c r="BJ40" s="1"/>
  <c r="BI41"/>
  <c r="BI42"/>
  <c r="BI43"/>
  <c r="BI44"/>
  <c r="BI45"/>
  <c r="BI46"/>
  <c r="BI47"/>
  <c r="BI48"/>
  <c r="BI49"/>
  <c r="BI50"/>
  <c r="BJ50" s="1"/>
  <c r="BI51"/>
  <c r="BJ51" s="1"/>
  <c r="BI52"/>
  <c r="BI53"/>
  <c r="BB53" s="1"/>
  <c r="BI54"/>
  <c r="BI55"/>
  <c r="BJ55" s="1"/>
  <c r="BI10"/>
  <c r="BB47"/>
  <c r="BB30"/>
  <c r="BB28"/>
  <c r="BB26"/>
  <c r="BB24"/>
  <c r="BB21"/>
  <c r="BB10"/>
  <c r="BB46"/>
  <c r="BB22"/>
  <c r="AT46"/>
  <c r="Y16"/>
  <c r="Z16"/>
  <c r="Z17"/>
  <c r="Z18"/>
  <c r="Z19"/>
  <c r="Z20"/>
  <c r="Z21"/>
  <c r="Y22"/>
  <c r="Z22"/>
  <c r="Y23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X46"/>
  <c r="AA46" s="1"/>
  <c r="Y46"/>
  <c r="Z46"/>
  <c r="Z47"/>
  <c r="Z48"/>
  <c r="Z49"/>
  <c r="Z50"/>
  <c r="Z51"/>
  <c r="Z52"/>
  <c r="Z53"/>
  <c r="Z54"/>
  <c r="Z55"/>
  <c r="S22"/>
  <c r="T22"/>
  <c r="M46"/>
  <c r="AF46" s="1"/>
  <c r="BK23"/>
  <c r="AT23"/>
  <c r="M23"/>
  <c r="AR23" s="1"/>
  <c r="M22"/>
  <c r="U22" s="1"/>
  <c r="X22" s="1"/>
  <c r="AA22" s="1"/>
  <c r="M16"/>
  <c r="AT16" s="1"/>
  <c r="AR15"/>
  <c r="Z15"/>
  <c r="Y15"/>
  <c r="U15"/>
  <c r="M15"/>
  <c r="Y30" i="13" l="1"/>
  <c r="Z30" s="1"/>
  <c r="BJ37" i="11"/>
  <c r="BJ53"/>
  <c r="BB12"/>
  <c r="BB32"/>
  <c r="BB51"/>
  <c r="BB50"/>
  <c r="BJ29"/>
  <c r="BJ27"/>
  <c r="BJ35"/>
  <c r="BJ15"/>
  <c r="BB36"/>
  <c r="BJ25"/>
  <c r="BF48"/>
  <c r="BG48"/>
  <c r="BF52"/>
  <c r="BG52" s="1"/>
  <c r="BG49"/>
  <c r="BG45"/>
  <c r="BG43"/>
  <c r="BG41"/>
  <c r="BG33"/>
  <c r="BG31"/>
  <c r="BG23"/>
  <c r="BG21"/>
  <c r="AV22"/>
  <c r="AC15"/>
  <c r="AF15"/>
  <c r="T15"/>
  <c r="X15" s="1"/>
  <c r="AA15" s="1"/>
  <c r="S15"/>
  <c r="AG15"/>
  <c r="T16"/>
  <c r="AC46"/>
  <c r="AU46" s="1"/>
  <c r="AV46" s="1"/>
  <c r="BE46" s="1"/>
  <c r="AG22"/>
  <c r="U23"/>
  <c r="AC22"/>
  <c r="AU22" s="1"/>
  <c r="AC23"/>
  <c r="S23"/>
  <c r="AF23"/>
  <c r="T23"/>
  <c r="AR22"/>
  <c r="U16"/>
  <c r="AC16"/>
  <c r="AR16"/>
  <c r="S16"/>
  <c r="BI12" i="12"/>
  <c r="BI13"/>
  <c r="BI14"/>
  <c r="BI15"/>
  <c r="BI16"/>
  <c r="BI17"/>
  <c r="BI18"/>
  <c r="BI19"/>
  <c r="BI20"/>
  <c r="BH12"/>
  <c r="BH13"/>
  <c r="BH14"/>
  <c r="BH15"/>
  <c r="BH16"/>
  <c r="BH17"/>
  <c r="BH18"/>
  <c r="BH19"/>
  <c r="BH20"/>
  <c r="BH11"/>
  <c r="M13" i="7"/>
  <c r="N13"/>
  <c r="Q13"/>
  <c r="R13" s="1"/>
  <c r="S13"/>
  <c r="BF46" i="11" l="1"/>
  <c r="BG46" s="1"/>
  <c r="AU16"/>
  <c r="X23"/>
  <c r="AA23" s="1"/>
  <c r="X16"/>
  <c r="AA16" s="1"/>
  <c r="AU23"/>
  <c r="AV23" s="1"/>
  <c r="AU15"/>
  <c r="AV15" s="1"/>
  <c r="AX15" s="1"/>
  <c r="BD15" s="1"/>
  <c r="BE15" s="1"/>
  <c r="I16" i="8"/>
  <c r="I13"/>
  <c r="I12"/>
  <c r="AC15" i="5"/>
  <c r="AC16"/>
  <c r="AC17"/>
  <c r="AC18"/>
  <c r="AC21"/>
  <c r="AA15"/>
  <c r="AA16"/>
  <c r="AA17"/>
  <c r="AA18"/>
  <c r="AA14"/>
  <c r="BB58" i="11"/>
  <c r="M58"/>
  <c r="M59"/>
  <c r="BB59" s="1"/>
  <c r="M60"/>
  <c r="BB60" s="1"/>
  <c r="M57"/>
  <c r="BB57" s="1"/>
  <c r="M10"/>
  <c r="AG10" s="1"/>
  <c r="M11"/>
  <c r="AG11" s="1"/>
  <c r="M12"/>
  <c r="M13"/>
  <c r="AG13" s="1"/>
  <c r="M14"/>
  <c r="M17"/>
  <c r="Y17" s="1"/>
  <c r="M18"/>
  <c r="M19"/>
  <c r="M20"/>
  <c r="Y20" s="1"/>
  <c r="M21"/>
  <c r="M24"/>
  <c r="M25"/>
  <c r="Y25" s="1"/>
  <c r="M26"/>
  <c r="Y26" s="1"/>
  <c r="M27"/>
  <c r="Y27" s="1"/>
  <c r="M28"/>
  <c r="Y28" s="1"/>
  <c r="M29"/>
  <c r="M30"/>
  <c r="Y30" s="1"/>
  <c r="M31"/>
  <c r="M32"/>
  <c r="M33"/>
  <c r="Y33" s="1"/>
  <c r="M34"/>
  <c r="M35"/>
  <c r="Y35" s="1"/>
  <c r="M36"/>
  <c r="M37"/>
  <c r="Y37" s="1"/>
  <c r="M38"/>
  <c r="M39"/>
  <c r="M40"/>
  <c r="M41"/>
  <c r="M42"/>
  <c r="M43"/>
  <c r="M44"/>
  <c r="M45"/>
  <c r="M47"/>
  <c r="M48"/>
  <c r="Y48" s="1"/>
  <c r="M49"/>
  <c r="Y49" s="1"/>
  <c r="M50"/>
  <c r="M51"/>
  <c r="Y51" s="1"/>
  <c r="M52"/>
  <c r="Y52" s="1"/>
  <c r="M53"/>
  <c r="Y53" s="1"/>
  <c r="M54"/>
  <c r="Y54" s="1"/>
  <c r="M55"/>
  <c r="Y55" s="1"/>
  <c r="BB11" i="12"/>
  <c r="BF15" i="11" l="1"/>
  <c r="BG15" s="1"/>
  <c r="AG50"/>
  <c r="Y50"/>
  <c r="BB45"/>
  <c r="Y45"/>
  <c r="BB41"/>
  <c r="Y41"/>
  <c r="AG29"/>
  <c r="Y29"/>
  <c r="BB19"/>
  <c r="Y19"/>
  <c r="AG57"/>
  <c r="BB44"/>
  <c r="Y44"/>
  <c r="BB40"/>
  <c r="Y40"/>
  <c r="AG36"/>
  <c r="Y36"/>
  <c r="Y32"/>
  <c r="AP32"/>
  <c r="AN24"/>
  <c r="Y24"/>
  <c r="AG18"/>
  <c r="Y18"/>
  <c r="BB43"/>
  <c r="Y43"/>
  <c r="BB39"/>
  <c r="Y39"/>
  <c r="AP31"/>
  <c r="Y31"/>
  <c r="AG21"/>
  <c r="Y21"/>
  <c r="AV16"/>
  <c r="AG47"/>
  <c r="Y47"/>
  <c r="BB42"/>
  <c r="Y42"/>
  <c r="AO38"/>
  <c r="Y38"/>
  <c r="AG34"/>
  <c r="Y34"/>
  <c r="BB14"/>
  <c r="AT14"/>
  <c r="AX23"/>
  <c r="AG14"/>
  <c r="BB11"/>
  <c r="BB20"/>
  <c r="AG24"/>
  <c r="BB18"/>
  <c r="AG44"/>
  <c r="AG37"/>
  <c r="AG19"/>
  <c r="AG17"/>
  <c r="W31" i="13"/>
  <c r="Q31"/>
  <c r="G31"/>
  <c r="AA29"/>
  <c r="L29"/>
  <c r="M29" s="1"/>
  <c r="AA28"/>
  <c r="L28"/>
  <c r="M28" s="1"/>
  <c r="AA27"/>
  <c r="L27"/>
  <c r="M27" s="1"/>
  <c r="S27" s="1"/>
  <c r="AA26"/>
  <c r="L26"/>
  <c r="M26" s="1"/>
  <c r="AA25"/>
  <c r="L25"/>
  <c r="M25" s="1"/>
  <c r="AA24"/>
  <c r="L24"/>
  <c r="M24" s="1"/>
  <c r="AA23"/>
  <c r="L23"/>
  <c r="M23" s="1"/>
  <c r="AA22"/>
  <c r="L22"/>
  <c r="M22" s="1"/>
  <c r="AA21"/>
  <c r="L21"/>
  <c r="M21" s="1"/>
  <c r="AA20"/>
  <c r="L20"/>
  <c r="M20" s="1"/>
  <c r="AA19"/>
  <c r="L19"/>
  <c r="M19" s="1"/>
  <c r="AA18"/>
  <c r="L18"/>
  <c r="M18" s="1"/>
  <c r="AA17"/>
  <c r="L17"/>
  <c r="M17" s="1"/>
  <c r="AA16"/>
  <c r="M16"/>
  <c r="L16"/>
  <c r="AA15"/>
  <c r="L15"/>
  <c r="M15" s="1"/>
  <c r="AA14"/>
  <c r="L14"/>
  <c r="M14" s="1"/>
  <c r="AA13"/>
  <c r="L13"/>
  <c r="M13" s="1"/>
  <c r="AA12"/>
  <c r="L12"/>
  <c r="M12" s="1"/>
  <c r="AA11"/>
  <c r="S11"/>
  <c r="L11"/>
  <c r="M11" s="1"/>
  <c r="S12" l="1"/>
  <c r="U12"/>
  <c r="S22"/>
  <c r="U23"/>
  <c r="U25"/>
  <c r="S25"/>
  <c r="AA31"/>
  <c r="S18"/>
  <c r="U19"/>
  <c r="U21"/>
  <c r="S21"/>
  <c r="V21" s="1"/>
  <c r="X21" s="1"/>
  <c r="U22"/>
  <c r="S23"/>
  <c r="S24"/>
  <c r="U24"/>
  <c r="U29"/>
  <c r="S29"/>
  <c r="S14"/>
  <c r="U15"/>
  <c r="U17"/>
  <c r="S17"/>
  <c r="U18"/>
  <c r="S19"/>
  <c r="V19" s="1"/>
  <c r="X19" s="1"/>
  <c r="S20"/>
  <c r="U20"/>
  <c r="U26"/>
  <c r="S26"/>
  <c r="U11"/>
  <c r="V11" s="1"/>
  <c r="X11" s="1"/>
  <c r="M31"/>
  <c r="U13"/>
  <c r="S13"/>
  <c r="V13" s="1"/>
  <c r="X13" s="1"/>
  <c r="U14"/>
  <c r="S15"/>
  <c r="U16"/>
  <c r="S16"/>
  <c r="V16" s="1"/>
  <c r="X16" s="1"/>
  <c r="X28"/>
  <c r="U28"/>
  <c r="S28"/>
  <c r="V28" s="1"/>
  <c r="U27"/>
  <c r="V27" s="1"/>
  <c r="X27" s="1"/>
  <c r="O56" i="11"/>
  <c r="P56"/>
  <c r="Q56"/>
  <c r="R56"/>
  <c r="N56"/>
  <c r="BB54"/>
  <c r="AR54"/>
  <c r="S54"/>
  <c r="S55"/>
  <c r="U54"/>
  <c r="AF54"/>
  <c r="AU54" l="1"/>
  <c r="AV54" s="1"/>
  <c r="X54"/>
  <c r="AA54" s="1"/>
  <c r="BB55"/>
  <c r="AR55"/>
  <c r="AU55" s="1"/>
  <c r="U55"/>
  <c r="V14" i="13"/>
  <c r="X14" s="1"/>
  <c r="Y14" s="1"/>
  <c r="Z14" s="1"/>
  <c r="V23"/>
  <c r="X23" s="1"/>
  <c r="Y23" s="1"/>
  <c r="Z23" s="1"/>
  <c r="V29"/>
  <c r="X29" s="1"/>
  <c r="Y11"/>
  <c r="Z11" s="1"/>
  <c r="Y27"/>
  <c r="Z27" s="1"/>
  <c r="Y21"/>
  <c r="Z21" s="1"/>
  <c r="Y13"/>
  <c r="Z13" s="1"/>
  <c r="Y19"/>
  <c r="Z19" s="1"/>
  <c r="Y28"/>
  <c r="Z28" s="1"/>
  <c r="Y16"/>
  <c r="Z16" s="1"/>
  <c r="U31"/>
  <c r="V22"/>
  <c r="X22" s="1"/>
  <c r="S31"/>
  <c r="V15"/>
  <c r="X15" s="1"/>
  <c r="V26"/>
  <c r="X26" s="1"/>
  <c r="V24"/>
  <c r="X24" s="1"/>
  <c r="V20"/>
  <c r="X20" s="1"/>
  <c r="V17"/>
  <c r="X17" s="1"/>
  <c r="V18"/>
  <c r="X18" s="1"/>
  <c r="V25"/>
  <c r="X25" s="1"/>
  <c r="V12"/>
  <c r="X12" s="1"/>
  <c r="T55" i="11"/>
  <c r="X55" s="1"/>
  <c r="AA55" s="1"/>
  <c r="AV55" s="1"/>
  <c r="T54"/>
  <c r="AX54" l="1"/>
  <c r="AX55"/>
  <c r="BD55" s="1"/>
  <c r="BE55" s="1"/>
  <c r="V31" i="13"/>
  <c r="Y29"/>
  <c r="Z29" s="1"/>
  <c r="X31"/>
  <c r="Y25"/>
  <c r="Z25" s="1"/>
  <c r="Y18"/>
  <c r="Z18"/>
  <c r="Y17"/>
  <c r="Z17" s="1"/>
  <c r="Y24"/>
  <c r="Z24"/>
  <c r="Y22"/>
  <c r="Z22" s="1"/>
  <c r="Y15"/>
  <c r="Z15" s="1"/>
  <c r="Y12"/>
  <c r="Y20"/>
  <c r="Z20" s="1"/>
  <c r="Y26"/>
  <c r="Z26" s="1"/>
  <c r="S14" i="7"/>
  <c r="S15"/>
  <c r="S12"/>
  <c r="BF55" i="11" l="1"/>
  <c r="BG55" s="1"/>
  <c r="Y31" i="13"/>
  <c r="Z12"/>
  <c r="Z31" s="1"/>
  <c r="M13" i="12" l="1"/>
  <c r="AF13" s="1"/>
  <c r="M14"/>
  <c r="AF14" s="1"/>
  <c r="M15"/>
  <c r="M16"/>
  <c r="AF16" s="1"/>
  <c r="M17"/>
  <c r="AF17" s="1"/>
  <c r="M18"/>
  <c r="AF18" s="1"/>
  <c r="M19"/>
  <c r="AF19" s="1"/>
  <c r="M20"/>
  <c r="M12"/>
  <c r="AF12" l="1"/>
  <c r="AF15"/>
  <c r="BC21"/>
  <c r="AN21"/>
  <c r="AH21"/>
  <c r="Q21"/>
  <c r="P21"/>
  <c r="O21"/>
  <c r="N21"/>
  <c r="Z20"/>
  <c r="AC20"/>
  <c r="Z19"/>
  <c r="Z18"/>
  <c r="Z17"/>
  <c r="AR17"/>
  <c r="Z16"/>
  <c r="AC16"/>
  <c r="BJ15"/>
  <c r="Z15"/>
  <c r="AC15"/>
  <c r="Z14"/>
  <c r="Y14"/>
  <c r="Z13"/>
  <c r="T13"/>
  <c r="BJ12"/>
  <c r="Z12"/>
  <c r="AT12"/>
  <c r="BI11"/>
  <c r="Z11"/>
  <c r="M11"/>
  <c r="AF11" s="1"/>
  <c r="BB15" l="1"/>
  <c r="BJ13"/>
  <c r="BB13"/>
  <c r="BJ16"/>
  <c r="BB16"/>
  <c r="BJ18"/>
  <c r="BB18"/>
  <c r="BJ14"/>
  <c r="BB14"/>
  <c r="BJ20"/>
  <c r="BB20"/>
  <c r="BB12"/>
  <c r="BJ19"/>
  <c r="BB19"/>
  <c r="BJ17"/>
  <c r="BB17"/>
  <c r="S16"/>
  <c r="T16"/>
  <c r="AJ15"/>
  <c r="U15"/>
  <c r="AO21"/>
  <c r="U13"/>
  <c r="T15"/>
  <c r="Y19"/>
  <c r="S20"/>
  <c r="AC13"/>
  <c r="T20"/>
  <c r="AF20"/>
  <c r="AF21" s="1"/>
  <c r="Y20"/>
  <c r="AT20"/>
  <c r="Y12"/>
  <c r="AR13"/>
  <c r="U20"/>
  <c r="AR20"/>
  <c r="U18"/>
  <c r="S18"/>
  <c r="AC18"/>
  <c r="T18"/>
  <c r="Y18"/>
  <c r="AR18"/>
  <c r="Y11"/>
  <c r="S11"/>
  <c r="AJ11"/>
  <c r="T11"/>
  <c r="AR11"/>
  <c r="S12"/>
  <c r="BH21"/>
  <c r="U11"/>
  <c r="AC11"/>
  <c r="AR12"/>
  <c r="U12"/>
  <c r="AC12"/>
  <c r="T12"/>
  <c r="AG21"/>
  <c r="Y17"/>
  <c r="S17"/>
  <c r="T17"/>
  <c r="AC17"/>
  <c r="U17"/>
  <c r="AT17"/>
  <c r="AR14"/>
  <c r="T14"/>
  <c r="S14"/>
  <c r="U14"/>
  <c r="AJ14"/>
  <c r="AR19"/>
  <c r="T19"/>
  <c r="AT19"/>
  <c r="S19"/>
  <c r="U19"/>
  <c r="AC19"/>
  <c r="Y15"/>
  <c r="S15"/>
  <c r="AR15"/>
  <c r="AR16"/>
  <c r="U16"/>
  <c r="Y16"/>
  <c r="AJ16"/>
  <c r="Y13"/>
  <c r="S13"/>
  <c r="BJ21" l="1"/>
  <c r="BB21"/>
  <c r="BI21"/>
  <c r="S21"/>
  <c r="T21"/>
  <c r="X16"/>
  <c r="AA16" s="1"/>
  <c r="AU20"/>
  <c r="AU13"/>
  <c r="X13"/>
  <c r="AA13" s="1"/>
  <c r="AU15"/>
  <c r="X15"/>
  <c r="AA15" s="1"/>
  <c r="AR21"/>
  <c r="U21"/>
  <c r="X20"/>
  <c r="AA20" s="1"/>
  <c r="AJ21"/>
  <c r="AU18"/>
  <c r="AU14"/>
  <c r="AT21"/>
  <c r="AU11"/>
  <c r="X18"/>
  <c r="AA18" s="1"/>
  <c r="X17"/>
  <c r="AA17" s="1"/>
  <c r="X11"/>
  <c r="AU19"/>
  <c r="X14"/>
  <c r="AA14" s="1"/>
  <c r="AU17"/>
  <c r="AP21"/>
  <c r="AU12"/>
  <c r="AC21"/>
  <c r="AU16"/>
  <c r="X19"/>
  <c r="AA19" s="1"/>
  <c r="X12"/>
  <c r="AA12" s="1"/>
  <c r="AU21" l="1"/>
  <c r="AA11"/>
  <c r="AA21" s="1"/>
  <c r="X21"/>
  <c r="S53" i="11"/>
  <c r="AC53"/>
  <c r="U53"/>
  <c r="AR53"/>
  <c r="AV18" i="12"/>
  <c r="AX18" s="1"/>
  <c r="BD18" s="1"/>
  <c r="BE18" s="1"/>
  <c r="AV14"/>
  <c r="AX14" s="1"/>
  <c r="BD14" s="1"/>
  <c r="BE14" s="1"/>
  <c r="AV16"/>
  <c r="AX16" s="1"/>
  <c r="BD16" s="1"/>
  <c r="BE16" s="1"/>
  <c r="AV15"/>
  <c r="AX15" s="1"/>
  <c r="BD15" s="1"/>
  <c r="BE15" s="1"/>
  <c r="AV13"/>
  <c r="AX13" s="1"/>
  <c r="BD13" s="1"/>
  <c r="BE13" s="1"/>
  <c r="BF13" s="1"/>
  <c r="BG13" s="1"/>
  <c r="AV19"/>
  <c r="AX19" s="1"/>
  <c r="BD19" s="1"/>
  <c r="BE19" s="1"/>
  <c r="AV20"/>
  <c r="AX20" s="1"/>
  <c r="BD20" s="1"/>
  <c r="BE20" s="1"/>
  <c r="BF20" s="1"/>
  <c r="AV11"/>
  <c r="AV12"/>
  <c r="AV17"/>
  <c r="AF53" i="11"/>
  <c r="T53"/>
  <c r="AJ53"/>
  <c r="AU53" l="1"/>
  <c r="X53"/>
  <c r="AA53" s="1"/>
  <c r="AX11" i="12"/>
  <c r="AV21"/>
  <c r="BG20"/>
  <c r="BF18"/>
  <c r="BG18" s="1"/>
  <c r="BF14"/>
  <c r="BG14" s="1"/>
  <c r="BF15"/>
  <c r="BG15" s="1"/>
  <c r="BF16"/>
  <c r="BG16" s="1"/>
  <c r="AX17"/>
  <c r="BD17" s="1"/>
  <c r="BE17" s="1"/>
  <c r="AX12"/>
  <c r="BD12" s="1"/>
  <c r="BE12" s="1"/>
  <c r="BF19"/>
  <c r="BG19" s="1"/>
  <c r="AV53" i="11" l="1"/>
  <c r="AX53" s="1"/>
  <c r="BD53" s="1"/>
  <c r="BE53" s="1"/>
  <c r="BD11" i="12"/>
  <c r="AX21"/>
  <c r="BF12"/>
  <c r="BG12" s="1"/>
  <c r="BF17"/>
  <c r="BG17" s="1"/>
  <c r="BF53" i="11" l="1"/>
  <c r="BG53" s="1"/>
  <c r="BD21" i="12"/>
  <c r="BE11"/>
  <c r="O22" i="5"/>
  <c r="BF11" i="12" l="1"/>
  <c r="BF21" s="1"/>
  <c r="BE21"/>
  <c r="E12" i="8"/>
  <c r="BG11" i="12" l="1"/>
  <c r="BG21" s="1"/>
  <c r="T15" i="5"/>
  <c r="T16"/>
  <c r="T17"/>
  <c r="T18"/>
  <c r="T19"/>
  <c r="T21"/>
  <c r="N20"/>
  <c r="P20" s="1"/>
  <c r="S20" s="1"/>
  <c r="T20" s="1"/>
  <c r="W20" s="1"/>
  <c r="AA20" s="1"/>
  <c r="AC20" s="1"/>
  <c r="O61" i="11"/>
  <c r="BI60"/>
  <c r="BJ60" s="1"/>
  <c r="BK60" s="1"/>
  <c r="Z60"/>
  <c r="AC60"/>
  <c r="BI59"/>
  <c r="BJ59" s="1"/>
  <c r="BK59" s="1"/>
  <c r="Z59"/>
  <c r="AC59"/>
  <c r="AH56"/>
  <c r="AC51"/>
  <c r="AR49"/>
  <c r="AC47"/>
  <c r="AT45"/>
  <c r="AC44"/>
  <c r="AF43"/>
  <c r="AC42"/>
  <c r="AF41"/>
  <c r="AC40"/>
  <c r="AC39"/>
  <c r="AR37"/>
  <c r="AR36"/>
  <c r="AT34"/>
  <c r="AF33"/>
  <c r="AC31"/>
  <c r="AT30"/>
  <c r="AJ28"/>
  <c r="AF26"/>
  <c r="BI58"/>
  <c r="BJ58" s="1"/>
  <c r="BK58" s="1"/>
  <c r="Z58"/>
  <c r="AF58"/>
  <c r="Z14"/>
  <c r="T18"/>
  <c r="BB17"/>
  <c r="AC17"/>
  <c r="Z13"/>
  <c r="Z12"/>
  <c r="BI57"/>
  <c r="BJ57" s="1"/>
  <c r="Z57"/>
  <c r="AC57"/>
  <c r="Z11"/>
  <c r="Z10"/>
  <c r="AC10"/>
  <c r="AU40" l="1"/>
  <c r="BH32"/>
  <c r="BB13"/>
  <c r="BI56"/>
  <c r="Z56"/>
  <c r="BK26"/>
  <c r="BK35"/>
  <c r="BK25"/>
  <c r="BK30"/>
  <c r="BK34"/>
  <c r="BK38"/>
  <c r="BK18"/>
  <c r="BK31"/>
  <c r="BK24"/>
  <c r="BK28"/>
  <c r="BK37"/>
  <c r="BK27"/>
  <c r="BK36"/>
  <c r="AF32"/>
  <c r="AR24"/>
  <c r="AN56"/>
  <c r="AC21"/>
  <c r="AT38"/>
  <c r="AO56"/>
  <c r="AC29"/>
  <c r="AU29" s="1"/>
  <c r="T31"/>
  <c r="T47"/>
  <c r="T37"/>
  <c r="T51"/>
  <c r="S52"/>
  <c r="S29"/>
  <c r="T58"/>
  <c r="T52"/>
  <c r="U59"/>
  <c r="U58"/>
  <c r="AC26"/>
  <c r="AT31"/>
  <c r="U47"/>
  <c r="AR52"/>
  <c r="T29"/>
  <c r="S60"/>
  <c r="AF60"/>
  <c r="AF37"/>
  <c r="AF51"/>
  <c r="AU51" s="1"/>
  <c r="AT59"/>
  <c r="T60"/>
  <c r="AR60"/>
  <c r="U21"/>
  <c r="T26"/>
  <c r="U31"/>
  <c r="S37"/>
  <c r="AR47"/>
  <c r="S51"/>
  <c r="AR51"/>
  <c r="S59"/>
  <c r="U60"/>
  <c r="AF57"/>
  <c r="AF36"/>
  <c r="AF14"/>
  <c r="S36"/>
  <c r="AT36"/>
  <c r="U38"/>
  <c r="S42"/>
  <c r="AF42"/>
  <c r="AU42" s="1"/>
  <c r="U49"/>
  <c r="T10"/>
  <c r="AR10"/>
  <c r="T57"/>
  <c r="S14"/>
  <c r="AR21"/>
  <c r="S25"/>
  <c r="AT26"/>
  <c r="AP56"/>
  <c r="T33"/>
  <c r="AF35"/>
  <c r="T36"/>
  <c r="U37"/>
  <c r="AT37"/>
  <c r="T42"/>
  <c r="AR42"/>
  <c r="U51"/>
  <c r="Y60"/>
  <c r="AT60"/>
  <c r="S57"/>
  <c r="U10"/>
  <c r="T14"/>
  <c r="AR58"/>
  <c r="U42"/>
  <c r="AC52"/>
  <c r="AU52" s="1"/>
  <c r="AF29"/>
  <c r="AT21"/>
  <c r="AT27"/>
  <c r="S30"/>
  <c r="X30" s="1"/>
  <c r="AA30" s="1"/>
  <c r="AC34"/>
  <c r="AR38"/>
  <c r="T39"/>
  <c r="AJ39"/>
  <c r="S40"/>
  <c r="AF40"/>
  <c r="AC50"/>
  <c r="U57"/>
  <c r="T17"/>
  <c r="AF17"/>
  <c r="AU17" s="1"/>
  <c r="U14"/>
  <c r="AJ58"/>
  <c r="S21"/>
  <c r="S27"/>
  <c r="T30"/>
  <c r="AF30"/>
  <c r="AC33"/>
  <c r="T34"/>
  <c r="U36"/>
  <c r="AJ37"/>
  <c r="S38"/>
  <c r="U39"/>
  <c r="AT39"/>
  <c r="T40"/>
  <c r="AT42"/>
  <c r="T50"/>
  <c r="AF50"/>
  <c r="U29"/>
  <c r="AR29"/>
  <c r="AR17"/>
  <c r="AR30"/>
  <c r="AF44"/>
  <c r="AU44" s="1"/>
  <c r="S17"/>
  <c r="Y57"/>
  <c r="AR57"/>
  <c r="U17"/>
  <c r="Y14"/>
  <c r="AR14"/>
  <c r="T21"/>
  <c r="AF21"/>
  <c r="U30"/>
  <c r="U34"/>
  <c r="AJ36"/>
  <c r="T38"/>
  <c r="AF38"/>
  <c r="AT29"/>
  <c r="AD20" i="5"/>
  <c r="U12" i="11"/>
  <c r="S12"/>
  <c r="AR13"/>
  <c r="U13"/>
  <c r="AC13"/>
  <c r="T13"/>
  <c r="AR28"/>
  <c r="BJ10"/>
  <c r="AF11"/>
  <c r="Y11"/>
  <c r="S11"/>
  <c r="T11"/>
  <c r="AC11"/>
  <c r="AU11" s="1"/>
  <c r="T12"/>
  <c r="AR19"/>
  <c r="T19"/>
  <c r="AF19"/>
  <c r="S19"/>
  <c r="AC19"/>
  <c r="U19"/>
  <c r="U11"/>
  <c r="AF12"/>
  <c r="AR18"/>
  <c r="U18"/>
  <c r="AF18"/>
  <c r="AR20"/>
  <c r="U20"/>
  <c r="T20"/>
  <c r="AT20"/>
  <c r="AC20"/>
  <c r="T24"/>
  <c r="AF24"/>
  <c r="S24"/>
  <c r="AT24"/>
  <c r="AJ32"/>
  <c r="T32"/>
  <c r="AT32"/>
  <c r="AC32"/>
  <c r="AR32"/>
  <c r="U32"/>
  <c r="AR41"/>
  <c r="T41"/>
  <c r="AC41"/>
  <c r="U41"/>
  <c r="AT41"/>
  <c r="S41"/>
  <c r="AR11"/>
  <c r="Y12"/>
  <c r="AR12"/>
  <c r="Y13"/>
  <c r="S18"/>
  <c r="AC18"/>
  <c r="S20"/>
  <c r="X20" s="1"/>
  <c r="AA20" s="1"/>
  <c r="AF20"/>
  <c r="U24"/>
  <c r="AC24"/>
  <c r="AU24" s="1"/>
  <c r="S32"/>
  <c r="AF28"/>
  <c r="S28"/>
  <c r="AC28"/>
  <c r="AU28" s="1"/>
  <c r="U28"/>
  <c r="AT28"/>
  <c r="T28"/>
  <c r="AC12"/>
  <c r="S13"/>
  <c r="AF13"/>
  <c r="AF10"/>
  <c r="Y10"/>
  <c r="S10"/>
  <c r="AJ10"/>
  <c r="AT25"/>
  <c r="U25"/>
  <c r="AF25"/>
  <c r="AC25"/>
  <c r="T25"/>
  <c r="AR25"/>
  <c r="AR27"/>
  <c r="U27"/>
  <c r="AF27"/>
  <c r="AC27"/>
  <c r="T27"/>
  <c r="AJ27"/>
  <c r="AR35"/>
  <c r="T35"/>
  <c r="AC35"/>
  <c r="AU35" s="1"/>
  <c r="U35"/>
  <c r="AT35"/>
  <c r="S35"/>
  <c r="X35" s="1"/>
  <c r="AA35" s="1"/>
  <c r="AR48"/>
  <c r="T48"/>
  <c r="AC48"/>
  <c r="AF48"/>
  <c r="U48"/>
  <c r="S48"/>
  <c r="AR43"/>
  <c r="U43"/>
  <c r="AJ43"/>
  <c r="AR45"/>
  <c r="U45"/>
  <c r="AF45"/>
  <c r="AC58"/>
  <c r="AT58"/>
  <c r="AJ26"/>
  <c r="U26"/>
  <c r="AR33"/>
  <c r="U33"/>
  <c r="AJ33"/>
  <c r="S43"/>
  <c r="X43" s="1"/>
  <c r="AA43" s="1"/>
  <c r="AT43"/>
  <c r="T44"/>
  <c r="AJ44"/>
  <c r="S44"/>
  <c r="AR44"/>
  <c r="S45"/>
  <c r="X45" s="1"/>
  <c r="AA45" s="1"/>
  <c r="AC45"/>
  <c r="AC14"/>
  <c r="AU14" s="1"/>
  <c r="S58"/>
  <c r="Y58"/>
  <c r="S26"/>
  <c r="AR26"/>
  <c r="AF31"/>
  <c r="AU31" s="1"/>
  <c r="AV31" s="1"/>
  <c r="S31"/>
  <c r="X31" s="1"/>
  <c r="AA31" s="1"/>
  <c r="AR31"/>
  <c r="S33"/>
  <c r="X33" s="1"/>
  <c r="AA33" s="1"/>
  <c r="AT33"/>
  <c r="AF34"/>
  <c r="S34"/>
  <c r="X34" s="1"/>
  <c r="AA34" s="1"/>
  <c r="AR34"/>
  <c r="AF39"/>
  <c r="AU39" s="1"/>
  <c r="S39"/>
  <c r="AR39"/>
  <c r="AT40"/>
  <c r="U40"/>
  <c r="AR40"/>
  <c r="T43"/>
  <c r="AC43"/>
  <c r="U44"/>
  <c r="AT44"/>
  <c r="T45"/>
  <c r="AJ45"/>
  <c r="AF49"/>
  <c r="S49"/>
  <c r="T49"/>
  <c r="AC49"/>
  <c r="AJ50"/>
  <c r="U50"/>
  <c r="AR50"/>
  <c r="S50"/>
  <c r="U52"/>
  <c r="AF52"/>
  <c r="AC30"/>
  <c r="AC36"/>
  <c r="AC37"/>
  <c r="AU37" s="1"/>
  <c r="AC38"/>
  <c r="AU38" s="1"/>
  <c r="AF47"/>
  <c r="S47"/>
  <c r="X47" s="1"/>
  <c r="AA47" s="1"/>
  <c r="AJ47"/>
  <c r="AU47" s="1"/>
  <c r="AR59"/>
  <c r="T59"/>
  <c r="Y59"/>
  <c r="AF59"/>
  <c r="AU13" l="1"/>
  <c r="X50"/>
  <c r="AA50" s="1"/>
  <c r="X32"/>
  <c r="AA32" s="1"/>
  <c r="AV35"/>
  <c r="X24"/>
  <c r="AA24" s="1"/>
  <c r="AV24" s="1"/>
  <c r="AV47"/>
  <c r="AU49"/>
  <c r="AU18"/>
  <c r="AU26"/>
  <c r="AU30"/>
  <c r="AV34"/>
  <c r="X26"/>
  <c r="AA26" s="1"/>
  <c r="AV26" s="1"/>
  <c r="AU45"/>
  <c r="AV45" s="1"/>
  <c r="AU48"/>
  <c r="X28"/>
  <c r="AA28" s="1"/>
  <c r="AV28" s="1"/>
  <c r="X18"/>
  <c r="AA18" s="1"/>
  <c r="AV18" s="1"/>
  <c r="AU41"/>
  <c r="AU19"/>
  <c r="X27"/>
  <c r="AA27" s="1"/>
  <c r="X25"/>
  <c r="AA25" s="1"/>
  <c r="X42"/>
  <c r="AA42" s="1"/>
  <c r="AV42" s="1"/>
  <c r="X37"/>
  <c r="AA37" s="1"/>
  <c r="AV37" s="1"/>
  <c r="X29"/>
  <c r="AA29" s="1"/>
  <c r="AV32"/>
  <c r="AV30"/>
  <c r="X51"/>
  <c r="AA51" s="1"/>
  <c r="AV51" s="1"/>
  <c r="AV29"/>
  <c r="AU36"/>
  <c r="AU43"/>
  <c r="AV43" s="1"/>
  <c r="X44"/>
  <c r="AA44" s="1"/>
  <c r="AV44" s="1"/>
  <c r="AU27"/>
  <c r="AU12"/>
  <c r="AU50"/>
  <c r="AV50" s="1"/>
  <c r="X36"/>
  <c r="AA36" s="1"/>
  <c r="X49"/>
  <c r="AA49" s="1"/>
  <c r="AV49" s="1"/>
  <c r="X39"/>
  <c r="AA39" s="1"/>
  <c r="AV39" s="1"/>
  <c r="X48"/>
  <c r="AA48" s="1"/>
  <c r="AU25"/>
  <c r="X41"/>
  <c r="AA41" s="1"/>
  <c r="AU32"/>
  <c r="AU20"/>
  <c r="AV20" s="1"/>
  <c r="X19"/>
  <c r="AA19" s="1"/>
  <c r="X17"/>
  <c r="AA17" s="1"/>
  <c r="AV17" s="1"/>
  <c r="X38"/>
  <c r="AA38" s="1"/>
  <c r="AV38" s="1"/>
  <c r="AU33"/>
  <c r="AV33" s="1"/>
  <c r="X21"/>
  <c r="AA21" s="1"/>
  <c r="X40"/>
  <c r="AA40" s="1"/>
  <c r="AV40" s="1"/>
  <c r="AU34"/>
  <c r="X52"/>
  <c r="AA52" s="1"/>
  <c r="AV52" s="1"/>
  <c r="AU21"/>
  <c r="AV21" s="1"/>
  <c r="BB56"/>
  <c r="BJ56"/>
  <c r="AT56"/>
  <c r="T56"/>
  <c r="AG56"/>
  <c r="Y56"/>
  <c r="AC56"/>
  <c r="AF56"/>
  <c r="U56"/>
  <c r="S56"/>
  <c r="AR56"/>
  <c r="AE20" i="5"/>
  <c r="BK29" i="11"/>
  <c r="AU60"/>
  <c r="X58"/>
  <c r="AA58" s="1"/>
  <c r="X59"/>
  <c r="AA59" s="1"/>
  <c r="X60"/>
  <c r="AA60" s="1"/>
  <c r="X14"/>
  <c r="AA14" s="1"/>
  <c r="AV14" s="1"/>
  <c r="AU59"/>
  <c r="AU10"/>
  <c r="X11"/>
  <c r="AA11" s="1"/>
  <c r="AV11" s="1"/>
  <c r="X57"/>
  <c r="AA57" s="1"/>
  <c r="AU57"/>
  <c r="AU58"/>
  <c r="AJ56"/>
  <c r="X13"/>
  <c r="X10"/>
  <c r="X12"/>
  <c r="AV36" l="1"/>
  <c r="AV27"/>
  <c r="AV25"/>
  <c r="AV19"/>
  <c r="AX19" s="1"/>
  <c r="BD19" s="1"/>
  <c r="BE19" s="1"/>
  <c r="AV48"/>
  <c r="AV41"/>
  <c r="BK56"/>
  <c r="X56"/>
  <c r="AU56"/>
  <c r="AF20" i="5"/>
  <c r="AV59" i="11"/>
  <c r="AX59" s="1"/>
  <c r="BD59" s="1"/>
  <c r="BE59" s="1"/>
  <c r="AV60"/>
  <c r="AX60" s="1"/>
  <c r="BD60" s="1"/>
  <c r="BE60" s="1"/>
  <c r="BF60" s="1"/>
  <c r="BG60" s="1"/>
  <c r="AX51"/>
  <c r="BD51" s="1"/>
  <c r="BE51" s="1"/>
  <c r="AX31"/>
  <c r="AX47"/>
  <c r="BD47" s="1"/>
  <c r="BE47" s="1"/>
  <c r="AX11"/>
  <c r="BD11" s="1"/>
  <c r="BE11" s="1"/>
  <c r="AX42"/>
  <c r="AV57"/>
  <c r="AX57" s="1"/>
  <c r="BD57" s="1"/>
  <c r="BE57" s="1"/>
  <c r="BF57" s="1"/>
  <c r="BG57" s="1"/>
  <c r="AX18"/>
  <c r="AX29"/>
  <c r="BD29" s="1"/>
  <c r="BE29" s="1"/>
  <c r="AX37"/>
  <c r="BD37" s="1"/>
  <c r="BE37" s="1"/>
  <c r="AX38"/>
  <c r="AX36"/>
  <c r="BD36" s="1"/>
  <c r="BE36" s="1"/>
  <c r="AX30"/>
  <c r="AX52"/>
  <c r="AX27"/>
  <c r="BD27" s="1"/>
  <c r="BE27" s="1"/>
  <c r="AX39"/>
  <c r="BD39" s="1"/>
  <c r="BE39" s="1"/>
  <c r="AX40"/>
  <c r="BD40" s="1"/>
  <c r="BE40" s="1"/>
  <c r="AX34"/>
  <c r="BD34" s="1"/>
  <c r="BE34" s="1"/>
  <c r="AX17"/>
  <c r="BD17" s="1"/>
  <c r="BE17" s="1"/>
  <c r="AX43"/>
  <c r="AX32"/>
  <c r="BD32" s="1"/>
  <c r="BE32" s="1"/>
  <c r="AV58"/>
  <c r="AX14"/>
  <c r="AA13"/>
  <c r="AX35"/>
  <c r="BD35" s="1"/>
  <c r="BE35" s="1"/>
  <c r="AX49"/>
  <c r="AX28"/>
  <c r="AX50"/>
  <c r="BD50" s="1"/>
  <c r="BE50" s="1"/>
  <c r="AX48"/>
  <c r="AA12"/>
  <c r="AX44"/>
  <c r="AX33"/>
  <c r="AA10"/>
  <c r="BF37" l="1"/>
  <c r="BG37"/>
  <c r="BF32"/>
  <c r="BG32"/>
  <c r="BF51"/>
  <c r="BG51"/>
  <c r="BF50"/>
  <c r="BG50" s="1"/>
  <c r="BF47"/>
  <c r="BG47"/>
  <c r="BF29"/>
  <c r="BG29"/>
  <c r="BF27"/>
  <c r="BG27" s="1"/>
  <c r="BF35"/>
  <c r="BG35" s="1"/>
  <c r="BF34"/>
  <c r="BG34" s="1"/>
  <c r="BF17"/>
  <c r="BG17" s="1"/>
  <c r="BF19"/>
  <c r="BG19"/>
  <c r="BF11"/>
  <c r="BG11" s="1"/>
  <c r="BF36"/>
  <c r="BG36" s="1"/>
  <c r="BF40"/>
  <c r="BG40"/>
  <c r="BF39"/>
  <c r="BG39" s="1"/>
  <c r="AV13"/>
  <c r="AX13" s="1"/>
  <c r="BD13" s="1"/>
  <c r="BE13" s="1"/>
  <c r="AV12"/>
  <c r="AX12" s="1"/>
  <c r="BD12" s="1"/>
  <c r="BE12" s="1"/>
  <c r="BC56"/>
  <c r="BC58"/>
  <c r="AA56"/>
  <c r="AX21"/>
  <c r="AX20"/>
  <c r="BD20" s="1"/>
  <c r="BE20" s="1"/>
  <c r="AX25"/>
  <c r="BD25" s="1"/>
  <c r="BE25" s="1"/>
  <c r="AX24"/>
  <c r="BD24" s="1"/>
  <c r="BE24" s="1"/>
  <c r="AX58"/>
  <c r="BD58" s="1"/>
  <c r="BE58" s="1"/>
  <c r="BF58" s="1"/>
  <c r="BG58" s="1"/>
  <c r="AX26"/>
  <c r="AX45"/>
  <c r="BF59"/>
  <c r="BG59" s="1"/>
  <c r="AX41"/>
  <c r="AV10"/>
  <c r="BF12" l="1"/>
  <c r="BG12"/>
  <c r="BF24"/>
  <c r="BG24" s="1"/>
  <c r="BF20"/>
  <c r="BG20" s="1"/>
  <c r="BF13"/>
  <c r="BG13" s="1"/>
  <c r="BF25"/>
  <c r="BG25"/>
  <c r="AV56"/>
  <c r="AX10"/>
  <c r="AX56" s="1"/>
  <c r="BD10" l="1"/>
  <c r="BD56" s="1"/>
  <c r="BE10" l="1"/>
  <c r="BE56" s="1"/>
  <c r="BF10" l="1"/>
  <c r="BF56" s="1"/>
  <c r="BG10" l="1"/>
  <c r="BG56" s="1"/>
  <c r="J17" i="8" l="1"/>
  <c r="H17"/>
  <c r="G17"/>
  <c r="D17"/>
  <c r="E13"/>
  <c r="F13" l="1"/>
  <c r="E14"/>
  <c r="F14" s="1"/>
  <c r="K14" s="1"/>
  <c r="L14" s="1"/>
  <c r="E15"/>
  <c r="F15" s="1"/>
  <c r="K15" s="1"/>
  <c r="F12"/>
  <c r="E16"/>
  <c r="F16" s="1"/>
  <c r="K13" l="1"/>
  <c r="L13" s="1"/>
  <c r="M13" s="1"/>
  <c r="M14"/>
  <c r="K16"/>
  <c r="E17"/>
  <c r="L15"/>
  <c r="M15" s="1"/>
  <c r="F17"/>
  <c r="I17" l="1"/>
  <c r="K12"/>
  <c r="K17" s="1"/>
  <c r="L16"/>
  <c r="M16" s="1"/>
  <c r="L12" l="1"/>
  <c r="L17" s="1"/>
  <c r="M12" l="1"/>
  <c r="M17" s="1"/>
  <c r="P16" i="7"/>
  <c r="H16"/>
  <c r="M12"/>
  <c r="N12" s="1"/>
  <c r="Q12" s="1"/>
  <c r="R12" s="1"/>
  <c r="N21" i="5"/>
  <c r="P21" s="1"/>
  <c r="N17" l="1"/>
  <c r="P17" s="1"/>
  <c r="W17" s="1"/>
  <c r="AD17" s="1"/>
  <c r="AE17" s="1"/>
  <c r="AF17" s="1"/>
  <c r="N18"/>
  <c r="P18" s="1"/>
  <c r="W18" s="1"/>
  <c r="Y18" s="1"/>
  <c r="AD18" s="1"/>
  <c r="AE18" l="1"/>
  <c r="T14"/>
  <c r="AF18" l="1"/>
  <c r="W21"/>
  <c r="N19"/>
  <c r="P19" s="1"/>
  <c r="W19" s="1"/>
  <c r="AA19" s="1"/>
  <c r="AD21" l="1"/>
  <c r="AE21" s="1"/>
  <c r="AF21" l="1"/>
  <c r="Y19"/>
  <c r="AC19" s="1"/>
  <c r="AD19" l="1"/>
  <c r="AE19" s="1"/>
  <c r="AF19" s="1"/>
  <c r="M15" i="7"/>
  <c r="N15" s="1"/>
  <c r="Q15" s="1"/>
  <c r="M14"/>
  <c r="N14" s="1"/>
  <c r="Q22" i="5"/>
  <c r="S22"/>
  <c r="N15"/>
  <c r="P15" s="1"/>
  <c r="W15" s="1"/>
  <c r="Y15" s="1"/>
  <c r="N16"/>
  <c r="P16" s="1"/>
  <c r="W16" s="1"/>
  <c r="N14"/>
  <c r="P14" s="1"/>
  <c r="P22" l="1"/>
  <c r="O16" i="7"/>
  <c r="Q14"/>
  <c r="R14" s="1"/>
  <c r="N16"/>
  <c r="R15"/>
  <c r="W14" i="5"/>
  <c r="Y14" s="1"/>
  <c r="AD15" l="1"/>
  <c r="AE15" s="1"/>
  <c r="Y16"/>
  <c r="AD16" s="1"/>
  <c r="AE16" s="1"/>
  <c r="W22"/>
  <c r="AA22"/>
  <c r="AB22"/>
  <c r="S16" i="7" l="1"/>
  <c r="AA32" i="13" s="1"/>
  <c r="R16" i="7"/>
  <c r="Q16"/>
  <c r="AC14" i="5"/>
  <c r="AC22" s="1"/>
  <c r="Y22"/>
  <c r="AF16"/>
  <c r="AF15"/>
  <c r="T22"/>
  <c r="AD14" l="1"/>
  <c r="AD22" s="1"/>
  <c r="AE14" l="1"/>
  <c r="AE22" s="1"/>
  <c r="AF14" l="1"/>
  <c r="AF22" s="1"/>
  <c r="N17" i="8" s="1"/>
</calcChain>
</file>

<file path=xl/sharedStrings.xml><?xml version="1.0" encoding="utf-8"?>
<sst xmlns="http://schemas.openxmlformats.org/spreadsheetml/2006/main" count="1420" uniqueCount="461">
  <si>
    <t>ФАМИЛИЯ,</t>
  </si>
  <si>
    <t xml:space="preserve">ИМЯ, </t>
  </si>
  <si>
    <t>ОТЧЕСТВО</t>
  </si>
  <si>
    <t>Наименование</t>
  </si>
  <si>
    <t>должности,</t>
  </si>
  <si>
    <t>преподаваемый</t>
  </si>
  <si>
    <t>предмет</t>
  </si>
  <si>
    <t>вание</t>
  </si>
  <si>
    <t>Стаж</t>
  </si>
  <si>
    <t>работы</t>
  </si>
  <si>
    <t>катего</t>
  </si>
  <si>
    <t>рия</t>
  </si>
  <si>
    <t>№</t>
  </si>
  <si>
    <t>п/п</t>
  </si>
  <si>
    <t>Долж</t>
  </si>
  <si>
    <t>оклад</t>
  </si>
  <si>
    <t>(ставка)</t>
  </si>
  <si>
    <t>Повышающий коэффициент</t>
  </si>
  <si>
    <t>с учетом</t>
  </si>
  <si>
    <t>за</t>
  </si>
  <si>
    <t>работу</t>
  </si>
  <si>
    <t>звание</t>
  </si>
  <si>
    <t>ученую</t>
  </si>
  <si>
    <t>специ</t>
  </si>
  <si>
    <t>фику</t>
  </si>
  <si>
    <t>Фактическая нагрузка в неделю</t>
  </si>
  <si>
    <t>классы</t>
  </si>
  <si>
    <t>кацион</t>
  </si>
  <si>
    <t>местн.</t>
  </si>
  <si>
    <t>коэффиц.</t>
  </si>
  <si>
    <t>I-IV</t>
  </si>
  <si>
    <t>V-IX</t>
  </si>
  <si>
    <t>X-XI</t>
  </si>
  <si>
    <t>Итого</t>
  </si>
  <si>
    <t>классное</t>
  </si>
  <si>
    <t>работ</t>
  </si>
  <si>
    <t>Продолжение</t>
  </si>
  <si>
    <t>выплаты</t>
  </si>
  <si>
    <t>характера</t>
  </si>
  <si>
    <t>специа</t>
  </si>
  <si>
    <t>листам</t>
  </si>
  <si>
    <t>Месячн</t>
  </si>
  <si>
    <t>зарплата</t>
  </si>
  <si>
    <t>коэффи</t>
  </si>
  <si>
    <t>ный</t>
  </si>
  <si>
    <t>Район</t>
  </si>
  <si>
    <t>циент</t>
  </si>
  <si>
    <t>Оплата</t>
  </si>
  <si>
    <t>труда</t>
  </si>
  <si>
    <t>по тари</t>
  </si>
  <si>
    <t>списку</t>
  </si>
  <si>
    <t>годовая</t>
  </si>
  <si>
    <t>численн</t>
  </si>
  <si>
    <t>учителей</t>
  </si>
  <si>
    <t>(округл).</t>
  </si>
  <si>
    <t>ТАРИФИКАЦИОННЫЙ СПИСОК УЧИТЕЛЕЙ</t>
  </si>
  <si>
    <t>Для</t>
  </si>
  <si>
    <t>числен</t>
  </si>
  <si>
    <t>среднегод</t>
  </si>
  <si>
    <t>в сельс</t>
  </si>
  <si>
    <t>Должн</t>
  </si>
  <si>
    <t>Сумма</t>
  </si>
  <si>
    <t>выплат</t>
  </si>
  <si>
    <t>ИТОГО</t>
  </si>
  <si>
    <t>х</t>
  </si>
  <si>
    <t>Директор</t>
  </si>
  <si>
    <t>круж</t>
  </si>
  <si>
    <t>ковая</t>
  </si>
  <si>
    <t>работа</t>
  </si>
  <si>
    <t>обучение</t>
  </si>
  <si>
    <t>на дому</t>
  </si>
  <si>
    <t>Обслуживание</t>
  </si>
  <si>
    <t>мастерскими</t>
  </si>
  <si>
    <t>чассы</t>
  </si>
  <si>
    <t>зара</t>
  </si>
  <si>
    <t>ботная</t>
  </si>
  <si>
    <t>плата</t>
  </si>
  <si>
    <t>зарпл</t>
  </si>
  <si>
    <t>коэф</t>
  </si>
  <si>
    <t>фици</t>
  </si>
  <si>
    <t>фикац</t>
  </si>
  <si>
    <t>спец</t>
  </si>
  <si>
    <t>ТАРИФИКАЦИОННЫЙ СПИСОК</t>
  </si>
  <si>
    <t xml:space="preserve">УЧЕБНО-ВСПОМОГАТЕЛЬНОГО ПЕРСОНАЛА </t>
  </si>
  <si>
    <t>должности</t>
  </si>
  <si>
    <t>Кол</t>
  </si>
  <si>
    <t>долж</t>
  </si>
  <si>
    <t>должн</t>
  </si>
  <si>
    <t>ста</t>
  </si>
  <si>
    <t>вок</t>
  </si>
  <si>
    <t>ставка</t>
  </si>
  <si>
    <t>сельс</t>
  </si>
  <si>
    <t>мест</t>
  </si>
  <si>
    <t>нали</t>
  </si>
  <si>
    <t>чие</t>
  </si>
  <si>
    <t>зван</t>
  </si>
  <si>
    <t>Месяч</t>
  </si>
  <si>
    <t>зарп</t>
  </si>
  <si>
    <t>лата</t>
  </si>
  <si>
    <t>ИМЯ,</t>
  </si>
  <si>
    <t>Компенсац</t>
  </si>
  <si>
    <t>с учет</t>
  </si>
  <si>
    <t>нагруз</t>
  </si>
  <si>
    <t>Повышающие</t>
  </si>
  <si>
    <t>коэффициенты за</t>
  </si>
  <si>
    <t>Должность</t>
  </si>
  <si>
    <t>кол</t>
  </si>
  <si>
    <t>во</t>
  </si>
  <si>
    <t>штат</t>
  </si>
  <si>
    <t>един</t>
  </si>
  <si>
    <t>Раз</t>
  </si>
  <si>
    <t>ряд</t>
  </si>
  <si>
    <t>ностн</t>
  </si>
  <si>
    <t>ная</t>
  </si>
  <si>
    <t xml:space="preserve">по </t>
  </si>
  <si>
    <t>миним</t>
  </si>
  <si>
    <t>Выплаты стим.</t>
  </si>
  <si>
    <t>по тариф</t>
  </si>
  <si>
    <t>фициц</t>
  </si>
  <si>
    <t xml:space="preserve">Вид </t>
  </si>
  <si>
    <t>(основной,</t>
  </si>
  <si>
    <t>совмести-</t>
  </si>
  <si>
    <t>телство)</t>
  </si>
  <si>
    <t>основной</t>
  </si>
  <si>
    <t xml:space="preserve">Наличие </t>
  </si>
  <si>
    <t>ученной</t>
  </si>
  <si>
    <t>степени или</t>
  </si>
  <si>
    <t>почетного</t>
  </si>
  <si>
    <t>звания</t>
  </si>
  <si>
    <t>педагог.</t>
  </si>
  <si>
    <t>(число лет</t>
  </si>
  <si>
    <t>и месяцев)</t>
  </si>
  <si>
    <t>Ставка</t>
  </si>
  <si>
    <t>заработной</t>
  </si>
  <si>
    <t xml:space="preserve">платы за </t>
  </si>
  <si>
    <t>недельную</t>
  </si>
  <si>
    <t>(число  часов)</t>
  </si>
  <si>
    <t>степень,</t>
  </si>
  <si>
    <t>почетное</t>
  </si>
  <si>
    <t>заработ</t>
  </si>
  <si>
    <t>норму</t>
  </si>
  <si>
    <t>Выплаты компенсационного характера</t>
  </si>
  <si>
    <t>ковые</t>
  </si>
  <si>
    <t>часы</t>
  </si>
  <si>
    <t xml:space="preserve">выплаты </t>
  </si>
  <si>
    <t>руководство</t>
  </si>
  <si>
    <t>размер</t>
  </si>
  <si>
    <t>объем</t>
  </si>
  <si>
    <t>учебно</t>
  </si>
  <si>
    <t>Квали</t>
  </si>
  <si>
    <t>фикаци</t>
  </si>
  <si>
    <t>онная</t>
  </si>
  <si>
    <t>Выплаты стимулирующего характера</t>
  </si>
  <si>
    <t>Надбавка за</t>
  </si>
  <si>
    <t>почетное звание</t>
  </si>
  <si>
    <t xml:space="preserve">Надбавка за стаж </t>
  </si>
  <si>
    <t>педагогич. работы</t>
  </si>
  <si>
    <t>преподавание</t>
  </si>
  <si>
    <t>родного языка</t>
  </si>
  <si>
    <t>Должностн</t>
  </si>
  <si>
    <t>вовышающ</t>
  </si>
  <si>
    <t>стимулир</t>
  </si>
  <si>
    <t>компенс</t>
  </si>
  <si>
    <t>Заведование</t>
  </si>
  <si>
    <t>кабине</t>
  </si>
  <si>
    <t>тами</t>
  </si>
  <si>
    <t>Х</t>
  </si>
  <si>
    <t>оплата</t>
  </si>
  <si>
    <t>месячн</t>
  </si>
  <si>
    <t>Всего</t>
  </si>
  <si>
    <t>за учебн</t>
  </si>
  <si>
    <t>за инди</t>
  </si>
  <si>
    <t>видуальн</t>
  </si>
  <si>
    <t>часть</t>
  </si>
  <si>
    <t>заработн</t>
  </si>
  <si>
    <t>платы</t>
  </si>
  <si>
    <t>лабо</t>
  </si>
  <si>
    <t>ратори</t>
  </si>
  <si>
    <t>ями</t>
  </si>
  <si>
    <t>выпл.</t>
  </si>
  <si>
    <t>Месячная зарплата</t>
  </si>
  <si>
    <t>по тарифным ставкам</t>
  </si>
  <si>
    <t>Месячная</t>
  </si>
  <si>
    <t>должн.</t>
  </si>
  <si>
    <t>ставкам</t>
  </si>
  <si>
    <t>опытн</t>
  </si>
  <si>
    <t>учатк</t>
  </si>
  <si>
    <t>внекл</t>
  </si>
  <si>
    <t>воспит</t>
  </si>
  <si>
    <t>по физич</t>
  </si>
  <si>
    <t>исчислен</t>
  </si>
  <si>
    <t>Средне-</t>
  </si>
  <si>
    <t xml:space="preserve">занимаемой </t>
  </si>
  <si>
    <t>Штатн</t>
  </si>
  <si>
    <t>нагруки</t>
  </si>
  <si>
    <t>еди</t>
  </si>
  <si>
    <t>ница</t>
  </si>
  <si>
    <t>Наимено-</t>
  </si>
  <si>
    <t>надбака</t>
  </si>
  <si>
    <t>молодым</t>
  </si>
  <si>
    <t>ТАРИФИКАЦИОННЫЙ СПИСОК ПРЕПОДАВАТЕЛЕЙ</t>
  </si>
  <si>
    <t>Вид</t>
  </si>
  <si>
    <t>совмести</t>
  </si>
  <si>
    <t>тельство)</t>
  </si>
  <si>
    <t>повыш.</t>
  </si>
  <si>
    <t>сумма</t>
  </si>
  <si>
    <t>кол.</t>
  </si>
  <si>
    <t>комп</t>
  </si>
  <si>
    <t>тарифи</t>
  </si>
  <si>
    <t>кации</t>
  </si>
  <si>
    <t>с учет.</t>
  </si>
  <si>
    <t>повыш</t>
  </si>
  <si>
    <t>коэфф</t>
  </si>
  <si>
    <t>Выпл</t>
  </si>
  <si>
    <t>стиму</t>
  </si>
  <si>
    <t>лирую</t>
  </si>
  <si>
    <t>щего</t>
  </si>
  <si>
    <t>харак</t>
  </si>
  <si>
    <t>ТАРИФИКАЦИЯ РУКОВОДЯЩИХ РАБОТНИКОВ</t>
  </si>
  <si>
    <t>нагрузки</t>
  </si>
  <si>
    <t>Компенсационные выплаты</t>
  </si>
  <si>
    <t>Выплаты</t>
  </si>
  <si>
    <t>стимули</t>
  </si>
  <si>
    <t>месячная</t>
  </si>
  <si>
    <t>компенса</t>
  </si>
  <si>
    <t>рующего</t>
  </si>
  <si>
    <t>тера</t>
  </si>
  <si>
    <t>ент</t>
  </si>
  <si>
    <t xml:space="preserve">физкультура </t>
  </si>
  <si>
    <t>2 класс</t>
  </si>
  <si>
    <t>3 класс</t>
  </si>
  <si>
    <t>география</t>
  </si>
  <si>
    <t>1 класс</t>
  </si>
  <si>
    <t>высшая</t>
  </si>
  <si>
    <t>ОБЖ</t>
  </si>
  <si>
    <t xml:space="preserve">лаборатн </t>
  </si>
  <si>
    <t xml:space="preserve">основной </t>
  </si>
  <si>
    <t>уборщица</t>
  </si>
  <si>
    <t>кочегар</t>
  </si>
  <si>
    <t>сторож</t>
  </si>
  <si>
    <t>повар</t>
  </si>
  <si>
    <t>соц.педагог</t>
  </si>
  <si>
    <t>выч.техники</t>
  </si>
  <si>
    <t>завед</t>
  </si>
  <si>
    <t xml:space="preserve"> русский язык  и литература</t>
  </si>
  <si>
    <t>родной язык   и литература</t>
  </si>
  <si>
    <t>Должност</t>
  </si>
  <si>
    <t>первая</t>
  </si>
  <si>
    <t>индив</t>
  </si>
  <si>
    <t>обучен</t>
  </si>
  <si>
    <t>проверка письменных</t>
  </si>
  <si>
    <t>стимулирующего</t>
  </si>
  <si>
    <t xml:space="preserve">Выплаты </t>
  </si>
  <si>
    <t>Выплаты стимул. характера</t>
  </si>
  <si>
    <t>надбавка за стаж</t>
  </si>
  <si>
    <t>педагог.работы</t>
  </si>
  <si>
    <t>доплата</t>
  </si>
  <si>
    <t>надбавки</t>
  </si>
  <si>
    <t>Объем</t>
  </si>
  <si>
    <t>учебной</t>
  </si>
  <si>
    <t>педагога</t>
  </si>
  <si>
    <t>продолжение 4</t>
  </si>
  <si>
    <t>продолжение 5</t>
  </si>
  <si>
    <t>продолжение</t>
  </si>
  <si>
    <t>Компенсационные</t>
  </si>
  <si>
    <t>заработн.</t>
  </si>
  <si>
    <t>Повышающий коэффиц</t>
  </si>
  <si>
    <t>(основная,</t>
  </si>
  <si>
    <t>продолжение 1</t>
  </si>
  <si>
    <t>Занимаемая</t>
  </si>
  <si>
    <t>должность</t>
  </si>
  <si>
    <t>Вып.</t>
  </si>
  <si>
    <t>ком</t>
  </si>
  <si>
    <t>пенса</t>
  </si>
  <si>
    <t>цион</t>
  </si>
  <si>
    <t xml:space="preserve">Директор ___________ </t>
  </si>
  <si>
    <t>Магомедова Айшат Гамзатовна</t>
  </si>
  <si>
    <t>Мусалова Сапият Абусупьяновна</t>
  </si>
  <si>
    <t>Магомедова Саида Заирбековна</t>
  </si>
  <si>
    <t>Магомедова Оксана Магомедовна</t>
  </si>
  <si>
    <t>Ахмедова Раисат Гасанкадиевна</t>
  </si>
  <si>
    <t>Абдулаева Гульнара Мавраевна</t>
  </si>
  <si>
    <t>Гамидов Шейх Гамидович</t>
  </si>
  <si>
    <t>Муртазалиева Халисат Магомедовна</t>
  </si>
  <si>
    <t>Алиева Индира Магомедовна</t>
  </si>
  <si>
    <t>Ахмедханова Патимат Ариповна</t>
  </si>
  <si>
    <t>Идрисова Разият Баратиловна</t>
  </si>
  <si>
    <t>Исаева Патимат Пайзулаевна</t>
  </si>
  <si>
    <t>Английский язык</t>
  </si>
  <si>
    <t>Идрисова Хадижат Идрисовна</t>
  </si>
  <si>
    <t>Дибирова Зульфия Магомедрасуловна</t>
  </si>
  <si>
    <t>Исаева Эльмира Мухтаровна</t>
  </si>
  <si>
    <t>Сагитова Айшат Абдулаевна</t>
  </si>
  <si>
    <t>физика</t>
  </si>
  <si>
    <t>информатика</t>
  </si>
  <si>
    <t>Абдулмажидова Патимат Давудовна</t>
  </si>
  <si>
    <t>Ашалова Луиза Магомедовна</t>
  </si>
  <si>
    <t>история, обществознание</t>
  </si>
  <si>
    <t>Магомедова Зарипат Магомедовна</t>
  </si>
  <si>
    <t>Рамазанов Абдулкерим Магомедович</t>
  </si>
  <si>
    <t>Магомедова Джульета Джахбархановна</t>
  </si>
  <si>
    <t>химия</t>
  </si>
  <si>
    <t>Гамидова Гулизар Магомедовна</t>
  </si>
  <si>
    <t>Исаева Заира Омаровна</t>
  </si>
  <si>
    <t>Магомедова Раисат Магомедовна</t>
  </si>
  <si>
    <t>биология</t>
  </si>
  <si>
    <t>Раджабов Магомед Билалович</t>
  </si>
  <si>
    <t>Мустафаева Байзат Гаджиевна</t>
  </si>
  <si>
    <t>Мурадова Патимат Кировна</t>
  </si>
  <si>
    <t>Саидова Испаният Саидовна</t>
  </si>
  <si>
    <t>Гамзалова Изабела Магомедовна</t>
  </si>
  <si>
    <t>Абдулаева  Хадижат Магомедовна</t>
  </si>
  <si>
    <t>Султанова Загидат Исаковна</t>
  </si>
  <si>
    <t>Мусаева Патимат Омаровна</t>
  </si>
  <si>
    <t>Магомедова Хадижат Абдусамадовна</t>
  </si>
  <si>
    <t>Микаилова Савадат Магомеднабиевна</t>
  </si>
  <si>
    <t>Гимбатова Динара Гусейновна</t>
  </si>
  <si>
    <t>4 класс</t>
  </si>
  <si>
    <t>Гунибский Серго Шахмандарович</t>
  </si>
  <si>
    <t>нач.класс (санатория)</t>
  </si>
  <si>
    <t>география (санатория)</t>
  </si>
  <si>
    <t>Алиев Шахабас Магомедович</t>
  </si>
  <si>
    <t>Омаров Омар Израилович</t>
  </si>
  <si>
    <t>Муртазалиева Мадина Юсуповна</t>
  </si>
  <si>
    <t>Юсупдибирова Этери Магомедгаджиевна</t>
  </si>
  <si>
    <t>история, общ (санатория)</t>
  </si>
  <si>
    <t>технология</t>
  </si>
  <si>
    <t>Надырбеков Магомед Магомедрасулович</t>
  </si>
  <si>
    <t>история обществознание</t>
  </si>
  <si>
    <t xml:space="preserve"> русский язык  и лит.(санатория)</t>
  </si>
  <si>
    <t>Халимова Кистаман Магомедовна</t>
  </si>
  <si>
    <t>Отличник обр.Заслуженный учитель РД</t>
  </si>
  <si>
    <t>Почет.раб.образюРФ</t>
  </si>
  <si>
    <t>Почетн.раб.образования РД</t>
  </si>
  <si>
    <t>Почетный раб образ.РФ</t>
  </si>
  <si>
    <t>Заслуж.учитель РД</t>
  </si>
  <si>
    <t>Сулейманова Айшат Абдулаевна</t>
  </si>
  <si>
    <t>медицина</t>
  </si>
  <si>
    <t>Почетный раб.обр.РФ</t>
  </si>
  <si>
    <t>история, история  Дагестана</t>
  </si>
  <si>
    <t>Почетн.раб образ.РФ</t>
  </si>
  <si>
    <t>Почет.раб.обр.РФ</t>
  </si>
  <si>
    <t>Гаджиев Магомед Назирович</t>
  </si>
  <si>
    <t>Сайпулаева Патимат Залумхановна</t>
  </si>
  <si>
    <t>Шарабудинова Раисат Варанговна</t>
  </si>
  <si>
    <t>Воспитатель</t>
  </si>
  <si>
    <t>основная</t>
  </si>
  <si>
    <t>Почетный раб.образования РФ</t>
  </si>
  <si>
    <t>ОБЩЕОБРАЗОВАТЕЛЬНОГО УЧРЕЖДЕНИЯ  МБОУ "Гунибская СОШ"</t>
  </si>
  <si>
    <t>Исаева Наида Шарабудиновна</t>
  </si>
  <si>
    <t>Магомедова Чакар Хизриевна</t>
  </si>
  <si>
    <t>Абдулаева Патимат Якубовна</t>
  </si>
  <si>
    <t>Джахбарова Нажабат Омаровна</t>
  </si>
  <si>
    <t>Исаева Написат Султановна</t>
  </si>
  <si>
    <t>Магомедов Сурхай Ахмедханович</t>
  </si>
  <si>
    <t>электрик</t>
  </si>
  <si>
    <t>Газимагомедова Лаюза Халитовна</t>
  </si>
  <si>
    <t>Байсугуров Мурад Шейхулисламович</t>
  </si>
  <si>
    <t>МБОУ "Гунибская  СОШ" на 2016-2017 учебный год</t>
  </si>
  <si>
    <t>ОБЩЕОБРАЗОВАТЕЛЬНОГО УЧРЕЖДЕНИЯ МБОУ "ГУНИБСКАЯ СОШ "</t>
  </si>
  <si>
    <t>Мустафаева Б.Г.</t>
  </si>
  <si>
    <t>Английский язык (санатория)</t>
  </si>
  <si>
    <t>музыка и КТНД</t>
  </si>
  <si>
    <t>Халимова Патимат Магомедовна</t>
  </si>
  <si>
    <t>психолог кл.рук.</t>
  </si>
  <si>
    <t>Почетный раб обр РФ</t>
  </si>
  <si>
    <t xml:space="preserve">Почетный работник </t>
  </si>
  <si>
    <t>Ст.пионер вожатая</t>
  </si>
  <si>
    <t>Директор:_____________________Мустафаева Б.Г.</t>
  </si>
  <si>
    <t>Директор:</t>
  </si>
  <si>
    <t>Магомедова Аминат Абдулаевна</t>
  </si>
  <si>
    <t>Заслуженный  уч РД</t>
  </si>
  <si>
    <t>вторая</t>
  </si>
  <si>
    <t>МПО</t>
  </si>
  <si>
    <t>завхоз</t>
  </si>
  <si>
    <t>поч</t>
  </si>
  <si>
    <t>раб</t>
  </si>
  <si>
    <t>директор</t>
  </si>
  <si>
    <t>зам.по УВР</t>
  </si>
  <si>
    <t>Зам по ИКТ</t>
  </si>
  <si>
    <t>зам по ВР</t>
  </si>
  <si>
    <t>зам по УВР (санат)</t>
  </si>
  <si>
    <t>Гл.бухгалтер __________________Юсупов Ю.М.</t>
  </si>
  <si>
    <t>Директор __________________________/Мустафаева Б.Г./</t>
  </si>
  <si>
    <t xml:space="preserve">ТАРИФИКАЦИОННЫЙ СПИСОК обслуживающего  персонала </t>
  </si>
  <si>
    <t>Повышающий</t>
  </si>
  <si>
    <t>коэффициент</t>
  </si>
  <si>
    <t>ностной</t>
  </si>
  <si>
    <t>оклад с</t>
  </si>
  <si>
    <t>учетом</t>
  </si>
  <si>
    <t>ционного</t>
  </si>
  <si>
    <t>пов.коэф</t>
  </si>
  <si>
    <t>Мусаева Рукият Нахатиловна</t>
  </si>
  <si>
    <t>гардеробщик</t>
  </si>
  <si>
    <t>рабочий</t>
  </si>
  <si>
    <t>Шамхалов Магомед Магомедович</t>
  </si>
  <si>
    <t>водитель</t>
  </si>
  <si>
    <t xml:space="preserve">                                                   /Мустафаева Б.Г./</t>
  </si>
  <si>
    <t>Главный бухгалтер</t>
  </si>
  <si>
    <t>Ахкубекова  Гаджимарьям Нахатиловна</t>
  </si>
  <si>
    <t>характера-поч.раб</t>
  </si>
  <si>
    <t>физкультура спец.группа</t>
  </si>
  <si>
    <t>дворник</t>
  </si>
  <si>
    <t>Бухгалтер:</t>
  </si>
  <si>
    <r>
      <t>Директор _____________</t>
    </r>
    <r>
      <rPr>
        <u/>
        <sz val="11"/>
        <color theme="1"/>
        <rFont val="Calibri"/>
        <family val="2"/>
        <charset val="204"/>
        <scheme val="minor"/>
      </rPr>
      <t xml:space="preserve">               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 Мустафаева Б.Г.</t>
    </r>
  </si>
  <si>
    <t>мо</t>
  </si>
  <si>
    <t>Патахов М.М.</t>
  </si>
  <si>
    <r>
      <t xml:space="preserve">Бухгалтер: </t>
    </r>
    <r>
      <rPr>
        <u/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Патахов М.М.</t>
    </r>
  </si>
  <si>
    <t>Засл.учитель РД Почетный работник РФ</t>
  </si>
  <si>
    <t>Исаев Мурад Шарабудинович</t>
  </si>
  <si>
    <t>педагог-библиот</t>
  </si>
  <si>
    <t>за книги</t>
  </si>
  <si>
    <t>внеш.совм</t>
  </si>
  <si>
    <t>Кадилова Мадина Амиралиевна</t>
  </si>
  <si>
    <t>История-общество</t>
  </si>
  <si>
    <t>химия и общество (санатория)</t>
  </si>
  <si>
    <t>Расулова  Хадижат  Омаровна</t>
  </si>
  <si>
    <t>Байсугуров Шейхулислам</t>
  </si>
  <si>
    <t>вакансия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</si>
  <si>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</si>
  <si>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пом.повара</t>
  </si>
  <si>
    <t>Гаджиева Патимат Сайпудиновна</t>
  </si>
  <si>
    <t>литература</t>
  </si>
  <si>
    <t>Вакансия</t>
  </si>
  <si>
    <t>Мустафаев Мустафа Тумаевич</t>
  </si>
  <si>
    <t>Тьютор</t>
  </si>
  <si>
    <t xml:space="preserve">  с 01.09.2019г.</t>
  </si>
  <si>
    <t>на 2019-2020 год</t>
  </si>
  <si>
    <t>с 01.09.2019 г.</t>
  </si>
  <si>
    <t>ОБЩЕОБРАЗОВАТЕЛЬНОГО УЧРЕЖДЕНИЯ  МБОУ "Гунибская СОШ" с 01.09.2019г.</t>
  </si>
  <si>
    <t>Исаев Абдула Исаевич</t>
  </si>
  <si>
    <t>секретарь</t>
  </si>
  <si>
    <t>лаборант</t>
  </si>
  <si>
    <t>внутрсовм</t>
  </si>
  <si>
    <t>Пед-психолог</t>
  </si>
  <si>
    <t>14-15.06.15</t>
  </si>
  <si>
    <t>14-4.05.17</t>
  </si>
  <si>
    <t>13-15.06.15</t>
  </si>
  <si>
    <t>14-26.10.18</t>
  </si>
  <si>
    <t>14-18.03.16</t>
  </si>
  <si>
    <t>14-18.12.15</t>
  </si>
  <si>
    <t>14-18.05.15</t>
  </si>
  <si>
    <t>14-30.06.17</t>
  </si>
  <si>
    <t>14-31.01.19</t>
  </si>
  <si>
    <t>14-16.09.14</t>
  </si>
  <si>
    <t>математика</t>
  </si>
  <si>
    <t>Дибирова Зульфия Д</t>
  </si>
  <si>
    <t>Мусалаева Наида Махмудовна</t>
  </si>
  <si>
    <t>Абдуразакова Чакар М</t>
  </si>
  <si>
    <t>Абашилова Чумулай Магомедовна</t>
  </si>
  <si>
    <t>Исакова Айшат Гашимовна</t>
  </si>
  <si>
    <t>Магомедова Мадина Алиевна</t>
  </si>
  <si>
    <t>1класс</t>
  </si>
  <si>
    <t>должен</t>
  </si>
  <si>
    <t>меньше</t>
  </si>
  <si>
    <t>больше</t>
  </si>
  <si>
    <t>внеуроч</t>
  </si>
  <si>
    <t>шахматы</t>
  </si>
  <si>
    <t>Шамхалов Зайнудин Шамхалович</t>
  </si>
  <si>
    <t>УЧРЕЖДЕНИЕ   МБОУ "Гунибская СОШ"          с  01.09.2019 года</t>
  </si>
  <si>
    <t>исаев Абдула Исаевич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</si>
</sst>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Arial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 Cyr"/>
      <charset val="204"/>
    </font>
    <font>
      <sz val="1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 Cyr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0" xfId="0" applyFont="1" applyBorder="1" applyAlignment="1"/>
    <xf numFmtId="0" fontId="3" fillId="0" borderId="1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0" fillId="0" borderId="0" xfId="0" applyBorder="1" applyAlignment="1"/>
    <xf numFmtId="0" fontId="0" fillId="0" borderId="5" xfId="0" applyBorder="1"/>
    <xf numFmtId="0" fontId="0" fillId="0" borderId="7" xfId="0" applyBorder="1"/>
    <xf numFmtId="0" fontId="3" fillId="0" borderId="6" xfId="0" applyFont="1" applyBorder="1"/>
    <xf numFmtId="0" fontId="3" fillId="0" borderId="10" xfId="0" applyFont="1" applyFill="1" applyBorder="1"/>
    <xf numFmtId="0" fontId="4" fillId="0" borderId="11" xfId="0" applyFont="1" applyBorder="1"/>
    <xf numFmtId="0" fontId="4" fillId="0" borderId="0" xfId="0" applyFont="1" applyBorder="1"/>
    <xf numFmtId="0" fontId="4" fillId="0" borderId="12" xfId="0" applyFont="1" applyBorder="1"/>
    <xf numFmtId="0" fontId="3" fillId="0" borderId="3" xfId="0" applyFont="1" applyBorder="1"/>
    <xf numFmtId="0" fontId="3" fillId="0" borderId="11" xfId="0" applyFont="1" applyFill="1" applyBorder="1"/>
    <xf numFmtId="0" fontId="3" fillId="0" borderId="12" xfId="0" applyFont="1" applyFill="1" applyBorder="1"/>
    <xf numFmtId="0" fontId="4" fillId="0" borderId="10" xfId="0" applyFont="1" applyFill="1" applyBorder="1"/>
    <xf numFmtId="0" fontId="4" fillId="0" borderId="0" xfId="0" applyFont="1" applyFill="1" applyBorder="1"/>
    <xf numFmtId="0" fontId="4" fillId="0" borderId="1" xfId="0" applyFont="1" applyBorder="1"/>
    <xf numFmtId="0" fontId="0" fillId="0" borderId="0" xfId="0" applyAlignment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Font="1" applyBorder="1"/>
    <xf numFmtId="1" fontId="0" fillId="0" borderId="0" xfId="0" applyNumberFormat="1" applyFont="1" applyBorder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/>
    <xf numFmtId="0" fontId="2" fillId="0" borderId="6" xfId="0" applyFont="1" applyBorder="1" applyAlignment="1">
      <alignment horizontal="center"/>
    </xf>
    <xf numFmtId="16" fontId="2" fillId="0" borderId="6" xfId="0" applyNumberFormat="1" applyFont="1" applyBorder="1" applyAlignment="1">
      <alignment horizontal="center"/>
    </xf>
    <xf numFmtId="16" fontId="2" fillId="0" borderId="11" xfId="0" applyNumberFormat="1" applyFont="1" applyBorder="1" applyAlignment="1">
      <alignment horizontal="center"/>
    </xf>
    <xf numFmtId="16" fontId="2" fillId="0" borderId="0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3" fillId="0" borderId="11" xfId="0" applyFont="1" applyBorder="1" applyAlignment="1"/>
    <xf numFmtId="0" fontId="3" fillId="0" borderId="6" xfId="0" applyFont="1" applyFill="1" applyBorder="1" applyAlignment="1">
      <alignment horizontal="center"/>
    </xf>
    <xf numFmtId="0" fontId="2" fillId="0" borderId="5" xfId="0" applyFont="1" applyBorder="1" applyAlignment="1"/>
    <xf numFmtId="0" fontId="2" fillId="0" borderId="7" xfId="0" applyFont="1" applyBorder="1" applyAlignment="1"/>
    <xf numFmtId="1" fontId="1" fillId="2" borderId="2" xfId="0" applyNumberFormat="1" applyFont="1" applyFill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10" xfId="0" applyFont="1" applyBorder="1"/>
    <xf numFmtId="1" fontId="1" fillId="0" borderId="0" xfId="0" applyNumberFormat="1" applyFont="1" applyBorder="1" applyAlignment="1">
      <alignment horizontal="center"/>
    </xf>
    <xf numFmtId="0" fontId="3" fillId="0" borderId="3" xfId="0" applyFont="1" applyFill="1" applyBorder="1"/>
    <xf numFmtId="0" fontId="3" fillId="0" borderId="6" xfId="0" applyFont="1" applyFill="1" applyBorder="1"/>
    <xf numFmtId="1" fontId="1" fillId="0" borderId="13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9" xfId="0" applyBorder="1"/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0" fontId="0" fillId="0" borderId="12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3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right"/>
    </xf>
    <xf numFmtId="0" fontId="6" fillId="0" borderId="0" xfId="0" applyFont="1"/>
    <xf numFmtId="0" fontId="6" fillId="0" borderId="2" xfId="0" applyFont="1" applyBorder="1"/>
    <xf numFmtId="1" fontId="6" fillId="2" borderId="2" xfId="0" applyNumberFormat="1" applyFont="1" applyFill="1" applyBorder="1"/>
    <xf numFmtId="0" fontId="6" fillId="2" borderId="2" xfId="0" applyFont="1" applyFill="1" applyBorder="1"/>
    <xf numFmtId="0" fontId="1" fillId="0" borderId="0" xfId="0" applyFont="1"/>
    <xf numFmtId="0" fontId="9" fillId="0" borderId="0" xfId="0" applyFont="1"/>
    <xf numFmtId="0" fontId="7" fillId="0" borderId="2" xfId="0" applyFont="1" applyBorder="1"/>
    <xf numFmtId="0" fontId="12" fillId="3" borderId="13" xfId="0" applyFont="1" applyFill="1" applyBorder="1" applyAlignment="1">
      <alignment horizontal="justify" vertical="center"/>
    </xf>
    <xf numFmtId="0" fontId="13" fillId="0" borderId="2" xfId="0" applyFont="1" applyBorder="1"/>
    <xf numFmtId="0" fontId="8" fillId="0" borderId="2" xfId="0" applyFont="1" applyBorder="1"/>
    <xf numFmtId="0" fontId="1" fillId="0" borderId="2" xfId="0" applyFont="1" applyBorder="1"/>
    <xf numFmtId="1" fontId="1" fillId="0" borderId="2" xfId="0" applyNumberFormat="1" applyFont="1" applyBorder="1"/>
    <xf numFmtId="1" fontId="6" fillId="0" borderId="2" xfId="0" applyNumberFormat="1" applyFont="1" applyBorder="1"/>
    <xf numFmtId="0" fontId="3" fillId="0" borderId="6" xfId="0" applyFont="1" applyBorder="1" applyAlignment="1"/>
    <xf numFmtId="0" fontId="14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1" fontId="1" fillId="0" borderId="2" xfId="0" applyNumberFormat="1" applyFont="1" applyBorder="1" applyAlignment="1">
      <alignment horizontal="right"/>
    </xf>
    <xf numFmtId="0" fontId="15" fillId="2" borderId="2" xfId="0" applyFont="1" applyFill="1" applyBorder="1" applyAlignment="1"/>
    <xf numFmtId="0" fontId="16" fillId="2" borderId="2" xfId="0" applyFont="1" applyFill="1" applyBorder="1"/>
    <xf numFmtId="1" fontId="16" fillId="2" borderId="2" xfId="0" applyNumberFormat="1" applyFont="1" applyFill="1" applyBorder="1"/>
    <xf numFmtId="1" fontId="16" fillId="2" borderId="10" xfId="0" applyNumberFormat="1" applyFont="1" applyFill="1" applyBorder="1"/>
    <xf numFmtId="1" fontId="17" fillId="2" borderId="2" xfId="0" applyNumberFormat="1" applyFont="1" applyFill="1" applyBorder="1"/>
    <xf numFmtId="0" fontId="16" fillId="0" borderId="0" xfId="0" applyFont="1"/>
    <xf numFmtId="1" fontId="17" fillId="2" borderId="11" xfId="0" applyNumberFormat="1" applyFont="1" applyFill="1" applyBorder="1"/>
    <xf numFmtId="0" fontId="21" fillId="2" borderId="2" xfId="0" applyFont="1" applyFill="1" applyBorder="1"/>
    <xf numFmtId="0" fontId="15" fillId="2" borderId="10" xfId="0" applyFont="1" applyFill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15" fillId="2" borderId="10" xfId="0" applyFont="1" applyFill="1" applyBorder="1" applyAlignment="1">
      <alignment horizontal="center" vertical="center"/>
    </xf>
    <xf numFmtId="164" fontId="16" fillId="2" borderId="2" xfId="0" applyNumberFormat="1" applyFont="1" applyFill="1" applyBorder="1"/>
    <xf numFmtId="2" fontId="16" fillId="2" borderId="2" xfId="0" applyNumberFormat="1" applyFont="1" applyFill="1" applyBorder="1"/>
    <xf numFmtId="1" fontId="15" fillId="2" borderId="10" xfId="0" applyNumberFormat="1" applyFont="1" applyFill="1" applyBorder="1" applyAlignment="1">
      <alignment vertical="center"/>
    </xf>
    <xf numFmtId="1" fontId="17" fillId="2" borderId="5" xfId="0" applyNumberFormat="1" applyFont="1" applyFill="1" applyBorder="1"/>
    <xf numFmtId="2" fontId="16" fillId="2" borderId="5" xfId="0" applyNumberFormat="1" applyFont="1" applyFill="1" applyBorder="1" applyAlignment="1">
      <alignment horizontal="center" vertical="center"/>
    </xf>
    <xf numFmtId="0" fontId="16" fillId="0" borderId="0" xfId="0" applyFont="1" applyBorder="1" applyAlignment="1"/>
    <xf numFmtId="0" fontId="16" fillId="2" borderId="5" xfId="0" applyFont="1" applyFill="1" applyBorder="1"/>
    <xf numFmtId="0" fontId="18" fillId="2" borderId="2" xfId="0" applyFont="1" applyFill="1" applyBorder="1" applyAlignment="1">
      <alignment horizontal="justify" vertical="center"/>
    </xf>
    <xf numFmtId="0" fontId="19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" fontId="17" fillId="2" borderId="0" xfId="0" applyNumberFormat="1" applyFont="1" applyFill="1" applyBorder="1" applyAlignment="1">
      <alignment horizontal="center"/>
    </xf>
    <xf numFmtId="1" fontId="17" fillId="0" borderId="0" xfId="0" applyNumberFormat="1" applyFont="1" applyBorder="1" applyAlignment="1">
      <alignment horizontal="center"/>
    </xf>
    <xf numFmtId="0" fontId="19" fillId="0" borderId="0" xfId="0" applyFont="1" applyBorder="1"/>
    <xf numFmtId="1" fontId="16" fillId="0" borderId="0" xfId="0" applyNumberFormat="1" applyFont="1" applyBorder="1"/>
    <xf numFmtId="0" fontId="19" fillId="0" borderId="0" xfId="0" applyFont="1" applyAlignment="1">
      <alignment horizontal="center"/>
    </xf>
    <xf numFmtId="0" fontId="23" fillId="0" borderId="0" xfId="0" applyFont="1"/>
    <xf numFmtId="0" fontId="16" fillId="0" borderId="0" xfId="0" applyFont="1" applyAlignment="1">
      <alignment horizontal="center"/>
    </xf>
    <xf numFmtId="1" fontId="16" fillId="0" borderId="0" xfId="0" applyNumberFormat="1" applyFont="1"/>
    <xf numFmtId="0" fontId="17" fillId="0" borderId="0" xfId="0" applyFont="1" applyBorder="1" applyAlignment="1"/>
    <xf numFmtId="0" fontId="16" fillId="0" borderId="0" xfId="0" applyFont="1" applyAlignment="1">
      <alignment horizontal="left"/>
    </xf>
    <xf numFmtId="0" fontId="25" fillId="0" borderId="0" xfId="0" applyFont="1" applyBorder="1" applyAlignment="1">
      <alignment horizontal="center"/>
    </xf>
    <xf numFmtId="0" fontId="16" fillId="0" borderId="0" xfId="0" applyFont="1" applyBorder="1"/>
    <xf numFmtId="1" fontId="0" fillId="0" borderId="0" xfId="0" applyNumberFormat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" fontId="16" fillId="4" borderId="2" xfId="0" applyNumberFormat="1" applyFont="1" applyFill="1" applyBorder="1"/>
    <xf numFmtId="1" fontId="17" fillId="4" borderId="0" xfId="0" applyNumberFormat="1" applyFont="1" applyFill="1" applyBorder="1" applyAlignment="1">
      <alignment horizontal="center"/>
    </xf>
    <xf numFmtId="0" fontId="16" fillId="4" borderId="0" xfId="0" applyFont="1" applyFill="1"/>
    <xf numFmtId="0" fontId="2" fillId="4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6" fillId="4" borderId="10" xfId="0" applyFont="1" applyFill="1" applyBorder="1"/>
    <xf numFmtId="0" fontId="16" fillId="4" borderId="2" xfId="0" applyFont="1" applyFill="1" applyBorder="1"/>
    <xf numFmtId="0" fontId="17" fillId="4" borderId="0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16" fillId="4" borderId="15" xfId="0" applyFont="1" applyFill="1" applyBorder="1"/>
    <xf numFmtId="1" fontId="17" fillId="5" borderId="2" xfId="0" applyNumberFormat="1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/>
    </xf>
    <xf numFmtId="0" fontId="24" fillId="5" borderId="2" xfId="0" applyFont="1" applyFill="1" applyBorder="1" applyAlignment="1">
      <alignment horizontal="center"/>
    </xf>
    <xf numFmtId="1" fontId="24" fillId="5" borderId="2" xfId="0" applyNumberFormat="1" applyFont="1" applyFill="1" applyBorder="1" applyAlignment="1">
      <alignment horizontal="center"/>
    </xf>
    <xf numFmtId="1" fontId="17" fillId="5" borderId="2" xfId="0" applyNumberFormat="1" applyFont="1" applyFill="1" applyBorder="1" applyAlignment="1"/>
    <xf numFmtId="2" fontId="17" fillId="5" borderId="2" xfId="0" applyNumberFormat="1" applyFont="1" applyFill="1" applyBorder="1" applyAlignment="1"/>
    <xf numFmtId="1" fontId="16" fillId="5" borderId="2" xfId="0" applyNumberFormat="1" applyFont="1" applyFill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10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5" fillId="2" borderId="10" xfId="0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right"/>
    </xf>
    <xf numFmtId="0" fontId="24" fillId="5" borderId="2" xfId="0" applyFont="1" applyFill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3" fillId="0" borderId="15" xfId="0" applyFont="1" applyBorder="1" applyAlignment="1">
      <alignment horizontal="center"/>
    </xf>
    <xf numFmtId="0" fontId="21" fillId="0" borderId="0" xfId="0" applyFont="1" applyBorder="1" applyAlignment="1"/>
    <xf numFmtId="0" fontId="21" fillId="2" borderId="12" xfId="0" applyFont="1" applyFill="1" applyBorder="1"/>
    <xf numFmtId="0" fontId="2" fillId="0" borderId="15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11" fillId="6" borderId="2" xfId="0" applyFont="1" applyFill="1" applyBorder="1"/>
    <xf numFmtId="164" fontId="11" fillId="6" borderId="2" xfId="0" applyNumberFormat="1" applyFont="1" applyFill="1" applyBorder="1"/>
    <xf numFmtId="1" fontId="11" fillId="6" borderId="2" xfId="0" applyNumberFormat="1" applyFont="1" applyFill="1" applyBorder="1"/>
    <xf numFmtId="1" fontId="14" fillId="2" borderId="2" xfId="0" applyNumberFormat="1" applyFont="1" applyFill="1" applyBorder="1"/>
    <xf numFmtId="0" fontId="14" fillId="0" borderId="0" xfId="0" applyFont="1"/>
    <xf numFmtId="0" fontId="1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2" borderId="2" xfId="0" applyFont="1" applyFill="1" applyBorder="1"/>
    <xf numFmtId="0" fontId="12" fillId="0" borderId="1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1" fontId="12" fillId="2" borderId="2" xfId="0" applyNumberFormat="1" applyFont="1" applyFill="1" applyBorder="1"/>
    <xf numFmtId="0" fontId="14" fillId="0" borderId="2" xfId="0" applyFont="1" applyBorder="1" applyAlignment="1">
      <alignment horizontal="right"/>
    </xf>
    <xf numFmtId="0" fontId="26" fillId="0" borderId="2" xfId="0" applyFont="1" applyBorder="1" applyAlignment="1">
      <alignment horizontal="left"/>
    </xf>
    <xf numFmtId="1" fontId="26" fillId="0" borderId="2" xfId="0" applyNumberFormat="1" applyFont="1" applyBorder="1" applyAlignment="1">
      <alignment horizontal="left"/>
    </xf>
    <xf numFmtId="1" fontId="17" fillId="0" borderId="0" xfId="0" applyNumberFormat="1" applyFont="1" applyBorder="1" applyAlignment="1"/>
    <xf numFmtId="0" fontId="17" fillId="0" borderId="0" xfId="0" applyFont="1" applyBorder="1"/>
    <xf numFmtId="1" fontId="17" fillId="0" borderId="0" xfId="0" applyNumberFormat="1" applyFont="1" applyBorder="1"/>
    <xf numFmtId="2" fontId="16" fillId="2" borderId="10" xfId="0" applyNumberFormat="1" applyFont="1" applyFill="1" applyBorder="1" applyAlignment="1">
      <alignment horizontal="center" vertical="center"/>
    </xf>
    <xf numFmtId="0" fontId="16" fillId="2" borderId="12" xfId="0" applyFont="1" applyFill="1" applyBorder="1"/>
    <xf numFmtId="1" fontId="1" fillId="0" borderId="0" xfId="0" applyNumberFormat="1" applyFont="1"/>
    <xf numFmtId="0" fontId="15" fillId="2" borderId="10" xfId="0" applyFont="1" applyFill="1" applyBorder="1" applyAlignment="1"/>
    <xf numFmtId="0" fontId="15" fillId="2" borderId="10" xfId="0" applyFont="1" applyFill="1" applyBorder="1" applyAlignment="1">
      <alignment horizontal="right"/>
    </xf>
    <xf numFmtId="0" fontId="18" fillId="2" borderId="15" xfId="0" applyFont="1" applyFill="1" applyBorder="1" applyAlignment="1">
      <alignment horizontal="justify" vertical="center"/>
    </xf>
    <xf numFmtId="0" fontId="16" fillId="2" borderId="0" xfId="0" applyFont="1" applyFill="1" applyBorder="1" applyAlignment="1"/>
    <xf numFmtId="1" fontId="17" fillId="5" borderId="2" xfId="0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2" xfId="0" applyFont="1" applyBorder="1" applyAlignment="1"/>
    <xf numFmtId="0" fontId="6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6" fillId="0" borderId="13" xfId="0" applyFont="1" applyBorder="1" applyAlignment="1"/>
    <xf numFmtId="0" fontId="6" fillId="0" borderId="13" xfId="0" applyFont="1" applyBorder="1" applyAlignment="1">
      <alignment vertical="top"/>
    </xf>
    <xf numFmtId="1" fontId="0" fillId="2" borderId="2" xfId="0" applyNumberFormat="1" applyFont="1" applyFill="1" applyBorder="1"/>
    <xf numFmtId="1" fontId="0" fillId="0" borderId="2" xfId="0" applyNumberFormat="1" applyFont="1" applyBorder="1"/>
    <xf numFmtId="0" fontId="27" fillId="0" borderId="2" xfId="0" applyFont="1" applyBorder="1" applyAlignment="1">
      <alignment horizontal="center"/>
    </xf>
    <xf numFmtId="0" fontId="27" fillId="0" borderId="2" xfId="0" applyFont="1" applyBorder="1"/>
    <xf numFmtId="0" fontId="28" fillId="0" borderId="2" xfId="0" applyFont="1" applyBorder="1"/>
    <xf numFmtId="0" fontId="29" fillId="0" borderId="2" xfId="0" applyFont="1" applyBorder="1" applyAlignment="1">
      <alignment horizontal="center" vertical="center" wrapText="1"/>
    </xf>
    <xf numFmtId="0" fontId="28" fillId="0" borderId="2" xfId="0" applyFont="1" applyFill="1" applyBorder="1"/>
    <xf numFmtId="0" fontId="0" fillId="0" borderId="2" xfId="0" applyFont="1" applyBorder="1"/>
    <xf numFmtId="0" fontId="0" fillId="2" borderId="2" xfId="0" applyFont="1" applyFill="1" applyBorder="1"/>
    <xf numFmtId="1" fontId="0" fillId="2" borderId="10" xfId="0" applyNumberFormat="1" applyFont="1" applyFill="1" applyBorder="1"/>
    <xf numFmtId="1" fontId="0" fillId="2" borderId="3" xfId="0" applyNumberFormat="1" applyFont="1" applyFill="1" applyBorder="1"/>
    <xf numFmtId="0" fontId="30" fillId="3" borderId="3" xfId="0" applyFont="1" applyFill="1" applyBorder="1" applyAlignment="1">
      <alignment horizontal="justify" vertical="center"/>
    </xf>
    <xf numFmtId="0" fontId="27" fillId="0" borderId="13" xfId="0" applyFont="1" applyBorder="1"/>
    <xf numFmtId="0" fontId="30" fillId="3" borderId="13" xfId="0" applyFont="1" applyFill="1" applyBorder="1" applyAlignment="1">
      <alignment horizontal="justify" vertical="center"/>
    </xf>
    <xf numFmtId="0" fontId="31" fillId="0" borderId="2" xfId="0" applyFont="1" applyBorder="1" applyAlignment="1">
      <alignment horizontal="left" vertical="center" wrapText="1"/>
    </xf>
    <xf numFmtId="0" fontId="32" fillId="2" borderId="2" xfId="0" applyFont="1" applyFill="1" applyBorder="1" applyAlignment="1"/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2" xfId="0" applyFont="1" applyBorder="1" applyAlignment="1">
      <alignment horizontal="left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1" fillId="0" borderId="0" xfId="0" applyFont="1" applyBorder="1" applyAlignment="1">
      <alignment horizontal="center"/>
    </xf>
    <xf numFmtId="0" fontId="23" fillId="5" borderId="0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right"/>
    </xf>
    <xf numFmtId="0" fontId="17" fillId="5" borderId="0" xfId="0" applyFont="1" applyFill="1" applyBorder="1" applyAlignment="1">
      <alignment horizontal="center"/>
    </xf>
    <xf numFmtId="1" fontId="17" fillId="5" borderId="0" xfId="0" applyNumberFormat="1" applyFont="1" applyFill="1" applyBorder="1" applyAlignment="1">
      <alignment horizontal="center"/>
    </xf>
    <xf numFmtId="1" fontId="17" fillId="5" borderId="0" xfId="0" applyNumberFormat="1" applyFont="1" applyFill="1" applyBorder="1" applyAlignment="1">
      <alignment horizontal="right"/>
    </xf>
    <xf numFmtId="1" fontId="16" fillId="5" borderId="0" xfId="0" applyNumberFormat="1" applyFont="1" applyFill="1" applyBorder="1"/>
    <xf numFmtId="1" fontId="24" fillId="5" borderId="0" xfId="0" applyNumberFormat="1" applyFont="1" applyFill="1" applyBorder="1" applyAlignment="1">
      <alignment horizontal="center"/>
    </xf>
    <xf numFmtId="1" fontId="17" fillId="5" borderId="0" xfId="0" applyNumberFormat="1" applyFont="1" applyFill="1" applyBorder="1" applyAlignment="1"/>
    <xf numFmtId="2" fontId="17" fillId="5" borderId="0" xfId="0" applyNumberFormat="1" applyFont="1" applyFill="1" applyBorder="1" applyAlignment="1"/>
    <xf numFmtId="0" fontId="6" fillId="0" borderId="13" xfId="0" applyFont="1" applyBorder="1" applyAlignment="1">
      <alignment horizontal="left" vertical="top"/>
    </xf>
    <xf numFmtId="0" fontId="16" fillId="7" borderId="0" xfId="0" applyFont="1" applyFill="1"/>
    <xf numFmtId="0" fontId="0" fillId="8" borderId="0" xfId="0" applyFill="1"/>
    <xf numFmtId="0" fontId="0" fillId="2" borderId="12" xfId="0" applyFont="1" applyFill="1" applyBorder="1"/>
    <xf numFmtId="0" fontId="0" fillId="7" borderId="2" xfId="0" applyFont="1" applyFill="1" applyBorder="1"/>
    <xf numFmtId="164" fontId="0" fillId="2" borderId="2" xfId="0" applyNumberFormat="1" applyFont="1" applyFill="1" applyBorder="1"/>
    <xf numFmtId="1" fontId="0" fillId="4" borderId="2" xfId="0" applyNumberFormat="1" applyFont="1" applyFill="1" applyBorder="1"/>
    <xf numFmtId="0" fontId="32" fillId="2" borderId="10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vertical="center"/>
    </xf>
    <xf numFmtId="0" fontId="32" fillId="2" borderId="10" xfId="0" applyFont="1" applyFill="1" applyBorder="1" applyAlignment="1">
      <alignment horizontal="right" vertical="center"/>
    </xf>
    <xf numFmtId="0" fontId="32" fillId="2" borderId="2" xfId="0" applyFont="1" applyFill="1" applyBorder="1" applyAlignment="1">
      <alignment horizontal="right"/>
    </xf>
    <xf numFmtId="2" fontId="0" fillId="2" borderId="2" xfId="0" applyNumberFormat="1" applyFont="1" applyFill="1" applyBorder="1"/>
    <xf numFmtId="0" fontId="0" fillId="2" borderId="10" xfId="0" applyFont="1" applyFill="1" applyBorder="1"/>
    <xf numFmtId="0" fontId="0" fillId="4" borderId="10" xfId="0" applyFont="1" applyFill="1" applyBorder="1"/>
    <xf numFmtId="0" fontId="0" fillId="4" borderId="2" xfId="0" applyFont="1" applyFill="1" applyBorder="1"/>
    <xf numFmtId="1" fontId="32" fillId="2" borderId="10" xfId="0" applyNumberFormat="1" applyFont="1" applyFill="1" applyBorder="1" applyAlignment="1">
      <alignment vertical="center"/>
    </xf>
    <xf numFmtId="1" fontId="1" fillId="2" borderId="5" xfId="0" applyNumberFormat="1" applyFont="1" applyFill="1" applyBorder="1"/>
    <xf numFmtId="2" fontId="0" fillId="2" borderId="5" xfId="0" applyNumberFormat="1" applyFont="1" applyFill="1" applyBorder="1" applyAlignment="1">
      <alignment horizontal="right" vertical="center"/>
    </xf>
    <xf numFmtId="2" fontId="0" fillId="2" borderId="10" xfId="0" applyNumberFormat="1" applyFont="1" applyFill="1" applyBorder="1" applyAlignment="1">
      <alignment horizontal="right" vertical="center"/>
    </xf>
    <xf numFmtId="0" fontId="0" fillId="2" borderId="5" xfId="0" applyFont="1" applyFill="1" applyBorder="1"/>
    <xf numFmtId="0" fontId="0" fillId="4" borderId="15" xfId="0" applyFont="1" applyFill="1" applyBorder="1"/>
    <xf numFmtId="0" fontId="32" fillId="2" borderId="10" xfId="0" applyFont="1" applyFill="1" applyBorder="1" applyAlignment="1"/>
    <xf numFmtId="0" fontId="32" fillId="2" borderId="10" xfId="0" applyFont="1" applyFill="1" applyBorder="1" applyAlignment="1">
      <alignment horizontal="right"/>
    </xf>
    <xf numFmtId="0" fontId="30" fillId="2" borderId="2" xfId="0" applyFont="1" applyFill="1" applyBorder="1" applyAlignment="1">
      <alignment horizontal="justify" vertical="center"/>
    </xf>
    <xf numFmtId="2" fontId="0" fillId="2" borderId="5" xfId="0" applyNumberFormat="1" applyFont="1" applyFill="1" applyBorder="1" applyAlignment="1">
      <alignment horizontal="center" vertical="center"/>
    </xf>
    <xf numFmtId="2" fontId="0" fillId="2" borderId="10" xfId="0" applyNumberFormat="1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justify" vertical="center"/>
    </xf>
    <xf numFmtId="0" fontId="32" fillId="2" borderId="12" xfId="0" applyFont="1" applyFill="1" applyBorder="1" applyAlignment="1"/>
    <xf numFmtId="0" fontId="32" fillId="2" borderId="12" xfId="0" applyFont="1" applyFill="1" applyBorder="1" applyAlignment="1">
      <alignment horizontal="right"/>
    </xf>
    <xf numFmtId="1" fontId="0" fillId="2" borderId="12" xfId="0" applyNumberFormat="1" applyFont="1" applyFill="1" applyBorder="1"/>
    <xf numFmtId="164" fontId="0" fillId="2" borderId="12" xfId="0" applyNumberFormat="1" applyFont="1" applyFill="1" applyBorder="1"/>
    <xf numFmtId="1" fontId="0" fillId="4" borderId="12" xfId="0" applyNumberFormat="1" applyFont="1" applyFill="1" applyBorder="1"/>
    <xf numFmtId="0" fontId="30" fillId="2" borderId="9" xfId="0" applyFont="1" applyFill="1" applyBorder="1" applyAlignment="1">
      <alignment horizontal="justify" vertical="center"/>
    </xf>
    <xf numFmtId="0" fontId="0" fillId="4" borderId="11" xfId="0" applyFont="1" applyFill="1" applyBorder="1"/>
    <xf numFmtId="0" fontId="0" fillId="4" borderId="12" xfId="0" applyFont="1" applyFill="1" applyBorder="1"/>
    <xf numFmtId="0" fontId="32" fillId="2" borderId="2" xfId="0" applyFont="1" applyFill="1" applyBorder="1" applyAlignment="1">
      <alignment vertical="center"/>
    </xf>
    <xf numFmtId="0" fontId="32" fillId="2" borderId="2" xfId="0" applyFont="1" applyFill="1" applyBorder="1" applyAlignment="1">
      <alignment horizontal="right" vertical="center"/>
    </xf>
    <xf numFmtId="1" fontId="1" fillId="2" borderId="15" xfId="0" applyNumberFormat="1" applyFont="1" applyFill="1" applyBorder="1"/>
    <xf numFmtId="1" fontId="0" fillId="4" borderId="10" xfId="0" applyNumberFormat="1" applyFont="1" applyFill="1" applyBorder="1"/>
    <xf numFmtId="0" fontId="30" fillId="2" borderId="5" xfId="0" applyFont="1" applyFill="1" applyBorder="1" applyAlignment="1">
      <alignment horizontal="justify" vertical="center"/>
    </xf>
    <xf numFmtId="0" fontId="30" fillId="2" borderId="1" xfId="0" applyFont="1" applyFill="1" applyBorder="1" applyAlignment="1">
      <alignment horizontal="justify" vertical="center"/>
    </xf>
    <xf numFmtId="0" fontId="30" fillId="2" borderId="4" xfId="0" applyFont="1" applyFill="1" applyBorder="1" applyAlignment="1">
      <alignment horizontal="justify" vertical="center"/>
    </xf>
    <xf numFmtId="0" fontId="5" fillId="5" borderId="2" xfId="0" applyFont="1" applyFill="1" applyBorder="1" applyAlignment="1">
      <alignment horizontal="center"/>
    </xf>
    <xf numFmtId="0" fontId="33" fillId="5" borderId="2" xfId="0" applyFont="1" applyFill="1" applyBorder="1" applyAlignment="1">
      <alignment horizontal="center"/>
    </xf>
    <xf numFmtId="0" fontId="33" fillId="5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center"/>
    </xf>
    <xf numFmtId="1" fontId="1" fillId="5" borderId="2" xfId="0" applyNumberFormat="1" applyFont="1" applyFill="1" applyBorder="1" applyAlignment="1">
      <alignment horizontal="center"/>
    </xf>
    <xf numFmtId="1" fontId="1" fillId="5" borderId="2" xfId="0" applyNumberFormat="1" applyFont="1" applyFill="1" applyBorder="1" applyAlignment="1">
      <alignment horizontal="right"/>
    </xf>
    <xf numFmtId="1" fontId="0" fillId="5" borderId="2" xfId="0" applyNumberFormat="1" applyFont="1" applyFill="1" applyBorder="1" applyAlignment="1">
      <alignment horizontal="right"/>
    </xf>
    <xf numFmtId="0" fontId="1" fillId="5" borderId="2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1" fontId="33" fillId="5" borderId="2" xfId="0" applyNumberFormat="1" applyFont="1" applyFill="1" applyBorder="1" applyAlignment="1">
      <alignment horizontal="right"/>
    </xf>
    <xf numFmtId="2" fontId="1" fillId="5" borderId="2" xfId="0" applyNumberFormat="1" applyFont="1" applyFill="1" applyBorder="1" applyAlignment="1">
      <alignment horizontal="right"/>
    </xf>
    <xf numFmtId="0" fontId="32" fillId="2" borderId="2" xfId="0" applyFont="1" applyFill="1" applyBorder="1" applyAlignment="1">
      <alignment horizontal="center" vertical="center"/>
    </xf>
    <xf numFmtId="2" fontId="0" fillId="2" borderId="15" xfId="0" applyNumberFormat="1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/>
    <xf numFmtId="0" fontId="15" fillId="2" borderId="12" xfId="0" applyFont="1" applyFill="1" applyBorder="1" applyAlignment="1">
      <alignment horizontal="right"/>
    </xf>
    <xf numFmtId="0" fontId="15" fillId="2" borderId="11" xfId="0" applyFont="1" applyFill="1" applyBorder="1" applyAlignment="1">
      <alignment horizontal="right"/>
    </xf>
    <xf numFmtId="1" fontId="16" fillId="2" borderId="12" xfId="0" applyNumberFormat="1" applyFont="1" applyFill="1" applyBorder="1"/>
    <xf numFmtId="1" fontId="16" fillId="2" borderId="11" xfId="0" applyNumberFormat="1" applyFont="1" applyFill="1" applyBorder="1"/>
    <xf numFmtId="164" fontId="16" fillId="2" borderId="12" xfId="0" applyNumberFormat="1" applyFont="1" applyFill="1" applyBorder="1"/>
    <xf numFmtId="1" fontId="16" fillId="4" borderId="12" xfId="0" applyNumberFormat="1" applyFont="1" applyFill="1" applyBorder="1"/>
    <xf numFmtId="0" fontId="18" fillId="2" borderId="9" xfId="0" applyFont="1" applyFill="1" applyBorder="1" applyAlignment="1">
      <alignment horizontal="justify" vertical="center"/>
    </xf>
    <xf numFmtId="0" fontId="16" fillId="4" borderId="12" xfId="0" applyFont="1" applyFill="1" applyBorder="1"/>
    <xf numFmtId="1" fontId="17" fillId="2" borderId="12" xfId="0" applyNumberFormat="1" applyFont="1" applyFill="1" applyBorder="1"/>
    <xf numFmtId="0" fontId="18" fillId="2" borderId="5" xfId="0" applyFont="1" applyFill="1" applyBorder="1" applyAlignment="1">
      <alignment horizontal="justify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0" fillId="2" borderId="10" xfId="0" applyNumberFormat="1" applyFont="1" applyFill="1" applyBorder="1" applyAlignment="1">
      <alignment horizontal="right" vertical="center"/>
    </xf>
    <xf numFmtId="2" fontId="0" fillId="2" borderId="12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0" fillId="0" borderId="8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67"/>
  <sheetViews>
    <sheetView view="pageBreakPreview" topLeftCell="A43" zoomScaleSheetLayoutView="100" workbookViewId="0">
      <selection activeCell="BF46" sqref="BF46"/>
    </sheetView>
  </sheetViews>
  <sheetFormatPr defaultRowHeight="15"/>
  <cols>
    <col min="1" max="1" width="3.85546875" customWidth="1"/>
    <col min="2" max="2" width="43.85546875" customWidth="1"/>
    <col min="3" max="3" width="29.7109375" customWidth="1"/>
    <col min="4" max="4" width="13.5703125" style="104" customWidth="1"/>
    <col min="5" max="5" width="22.7109375" style="104" customWidth="1"/>
    <col min="6" max="6" width="18.85546875" style="104" customWidth="1"/>
    <col min="7" max="7" width="9.85546875" style="104" customWidth="1"/>
    <col min="8" max="8" width="5.140625" customWidth="1"/>
    <col min="9" max="9" width="55.140625" customWidth="1"/>
    <col min="10" max="10" width="5.5703125" customWidth="1"/>
    <col min="11" max="11" width="7.7109375" customWidth="1"/>
    <col min="12" max="12" width="7.28515625" customWidth="1"/>
    <col min="13" max="13" width="8.5703125" customWidth="1"/>
    <col min="14" max="15" width="6.28515625" customWidth="1"/>
    <col min="16" max="16" width="6.140625" customWidth="1"/>
    <col min="17" max="17" width="5.85546875" customWidth="1"/>
    <col min="18" max="18" width="8" customWidth="1"/>
    <col min="19" max="19" width="7.140625" customWidth="1"/>
    <col min="20" max="20" width="8.42578125" customWidth="1"/>
    <col min="21" max="21" width="8.5703125" customWidth="1"/>
    <col min="22" max="22" width="4.140625" customWidth="1"/>
    <col min="23" max="23" width="39.140625" customWidth="1"/>
    <col min="24" max="24" width="10.7109375" customWidth="1"/>
    <col min="25" max="25" width="7.85546875" customWidth="1"/>
    <col min="26" max="26" width="8.28515625" customWidth="1"/>
    <col min="27" max="27" width="9.85546875" customWidth="1"/>
    <col min="28" max="28" width="7.42578125" customWidth="1"/>
    <col min="29" max="29" width="8.140625" style="202" customWidth="1"/>
    <col min="30" max="30" width="8.140625" customWidth="1"/>
    <col min="31" max="31" width="7.140625" customWidth="1"/>
    <col min="32" max="32" width="7.7109375" style="202" customWidth="1"/>
    <col min="33" max="33" width="7.85546875" style="202" customWidth="1"/>
    <col min="34" max="34" width="6.28515625" customWidth="1"/>
    <col min="35" max="35" width="6.7109375" customWidth="1"/>
    <col min="36" max="36" width="6.5703125" style="202" customWidth="1"/>
    <col min="37" max="37" width="4" customWidth="1"/>
    <col min="38" max="38" width="57.42578125" customWidth="1"/>
    <col min="39" max="39" width="5" customWidth="1"/>
    <col min="40" max="41" width="5.28515625" style="202" customWidth="1"/>
    <col min="42" max="42" width="5.7109375" style="202" customWidth="1"/>
    <col min="43" max="43" width="5.5703125" customWidth="1"/>
    <col min="44" max="44" width="7.7109375" style="202" customWidth="1"/>
    <col min="45" max="45" width="7.85546875" customWidth="1"/>
    <col min="46" max="46" width="10.28515625" style="202" customWidth="1"/>
    <col min="47" max="47" width="7.7109375" customWidth="1"/>
    <col min="48" max="48" width="10" customWidth="1"/>
    <col min="49" max="49" width="5.42578125" customWidth="1"/>
    <col min="50" max="50" width="7.140625" customWidth="1"/>
    <col min="51" max="51" width="4.140625" customWidth="1"/>
    <col min="52" max="52" width="43" customWidth="1"/>
    <col min="53" max="53" width="6.42578125" customWidth="1"/>
    <col min="54" max="54" width="7" customWidth="1"/>
    <col min="55" max="55" width="6.7109375" customWidth="1"/>
    <col min="56" max="56" width="6.42578125" customWidth="1"/>
    <col min="57" max="57" width="8.140625" customWidth="1"/>
    <col min="58" max="58" width="7.5703125" customWidth="1"/>
    <col min="59" max="60" width="7.28515625" customWidth="1"/>
    <col min="61" max="61" width="6.140625" customWidth="1"/>
    <col min="62" max="62" width="7.7109375" customWidth="1"/>
    <col min="63" max="63" width="10.42578125" customWidth="1"/>
  </cols>
  <sheetData>
    <row r="1" spans="1:65">
      <c r="A1" s="201"/>
      <c r="B1" s="449" t="s">
        <v>55</v>
      </c>
      <c r="C1" s="449"/>
      <c r="D1" s="449"/>
      <c r="E1" s="449"/>
      <c r="F1" s="449"/>
      <c r="G1" s="228"/>
      <c r="H1" s="199"/>
      <c r="I1" s="2"/>
      <c r="J1" s="2"/>
      <c r="K1" s="2"/>
    </row>
    <row r="2" spans="1:65">
      <c r="A2" s="201"/>
      <c r="B2" s="449" t="s">
        <v>359</v>
      </c>
      <c r="C2" s="449"/>
      <c r="D2" s="449"/>
      <c r="E2" s="449"/>
      <c r="F2" s="449"/>
      <c r="G2" s="228"/>
      <c r="H2" s="199"/>
      <c r="I2" s="2"/>
      <c r="J2" s="2"/>
      <c r="K2" s="2"/>
      <c r="R2" t="s">
        <v>36</v>
      </c>
      <c r="T2" s="198">
        <v>2</v>
      </c>
      <c r="AF2" s="202" t="s">
        <v>263</v>
      </c>
      <c r="AJ2" s="218">
        <v>3</v>
      </c>
      <c r="AV2" t="s">
        <v>261</v>
      </c>
      <c r="AY2" s="198"/>
      <c r="AZ2" s="198"/>
      <c r="BA2" s="198"/>
      <c r="BB2" s="198"/>
      <c r="BC2" s="198"/>
      <c r="BI2" t="s">
        <v>262</v>
      </c>
      <c r="BK2" s="198"/>
    </row>
    <row r="3" spans="1:65">
      <c r="A3" s="201"/>
      <c r="B3" s="65"/>
      <c r="C3" s="450" t="s">
        <v>426</v>
      </c>
      <c r="D3" s="450"/>
      <c r="E3" s="450"/>
      <c r="F3" s="229"/>
      <c r="G3" s="228"/>
      <c r="H3" s="199"/>
      <c r="I3" s="2"/>
      <c r="J3" s="2"/>
    </row>
    <row r="4" spans="1:65" ht="18.75" customHeight="1">
      <c r="A4" s="11"/>
      <c r="B4" s="11"/>
      <c r="C4" s="17" t="s">
        <v>3</v>
      </c>
      <c r="D4" s="230" t="s">
        <v>8</v>
      </c>
      <c r="E4" s="230" t="s">
        <v>124</v>
      </c>
      <c r="F4" s="230" t="s">
        <v>149</v>
      </c>
      <c r="G4" s="231" t="s">
        <v>132</v>
      </c>
      <c r="H4" s="200"/>
      <c r="I4" s="11"/>
      <c r="J4" s="451" t="s">
        <v>17</v>
      </c>
      <c r="K4" s="452"/>
      <c r="L4" s="452"/>
      <c r="M4" s="20" t="s">
        <v>246</v>
      </c>
      <c r="N4" s="453" t="s">
        <v>25</v>
      </c>
      <c r="O4" s="447"/>
      <c r="P4" s="447"/>
      <c r="Q4" s="447"/>
      <c r="R4" s="448"/>
      <c r="S4" s="446" t="s">
        <v>180</v>
      </c>
      <c r="T4" s="447"/>
      <c r="U4" s="448"/>
      <c r="V4" s="4"/>
      <c r="W4" s="194"/>
      <c r="X4" s="192" t="s">
        <v>41</v>
      </c>
      <c r="Y4" s="17" t="s">
        <v>47</v>
      </c>
      <c r="Z4" s="24" t="s">
        <v>47</v>
      </c>
      <c r="AA4" s="17" t="s">
        <v>41</v>
      </c>
      <c r="AB4" s="427" t="s">
        <v>141</v>
      </c>
      <c r="AC4" s="427"/>
      <c r="AD4" s="427"/>
      <c r="AE4" s="427"/>
      <c r="AF4" s="427"/>
      <c r="AG4" s="427"/>
      <c r="AH4" s="427"/>
      <c r="AI4" s="427"/>
      <c r="AJ4" s="428"/>
      <c r="AK4" s="4"/>
      <c r="AL4" s="194"/>
      <c r="AM4" s="429" t="s">
        <v>141</v>
      </c>
      <c r="AN4" s="430"/>
      <c r="AO4" s="430"/>
      <c r="AP4" s="430"/>
      <c r="AQ4" s="430"/>
      <c r="AR4" s="430"/>
      <c r="AS4" s="430"/>
      <c r="AT4" s="430"/>
      <c r="AU4" s="431"/>
      <c r="AV4" s="192" t="s">
        <v>182</v>
      </c>
      <c r="AW4" s="432" t="s">
        <v>252</v>
      </c>
      <c r="AX4" s="433"/>
      <c r="AY4" s="36"/>
      <c r="AZ4" s="194"/>
      <c r="BA4" s="434" t="s">
        <v>253</v>
      </c>
      <c r="BB4" s="435"/>
      <c r="BC4" s="436"/>
      <c r="BD4" s="193" t="s">
        <v>33</v>
      </c>
      <c r="BE4" s="200" t="s">
        <v>41</v>
      </c>
      <c r="BF4" s="193" t="s">
        <v>45</v>
      </c>
      <c r="BG4" s="88" t="s">
        <v>169</v>
      </c>
      <c r="BH4" s="88"/>
      <c r="BI4" s="123" t="s">
        <v>258</v>
      </c>
      <c r="BJ4" s="17" t="s">
        <v>56</v>
      </c>
      <c r="BK4" s="17" t="s">
        <v>191</v>
      </c>
    </row>
    <row r="5" spans="1:65">
      <c r="A5" s="12" t="s">
        <v>12</v>
      </c>
      <c r="B5" s="12" t="s">
        <v>0</v>
      </c>
      <c r="C5" s="18" t="s">
        <v>4</v>
      </c>
      <c r="D5" s="232" t="s">
        <v>129</v>
      </c>
      <c r="E5" s="233" t="s">
        <v>125</v>
      </c>
      <c r="F5" s="233" t="s">
        <v>150</v>
      </c>
      <c r="G5" s="234" t="s">
        <v>133</v>
      </c>
      <c r="H5" s="28" t="s">
        <v>12</v>
      </c>
      <c r="I5" s="12" t="s">
        <v>0</v>
      </c>
      <c r="J5" s="23" t="s">
        <v>22</v>
      </c>
      <c r="K5" s="20" t="s">
        <v>19</v>
      </c>
      <c r="L5" s="20" t="s">
        <v>19</v>
      </c>
      <c r="M5" s="23" t="s">
        <v>15</v>
      </c>
      <c r="N5" s="437" t="s">
        <v>136</v>
      </c>
      <c r="O5" s="438"/>
      <c r="P5" s="438"/>
      <c r="Q5" s="438"/>
      <c r="R5" s="439"/>
      <c r="S5" s="440" t="s">
        <v>181</v>
      </c>
      <c r="T5" s="438"/>
      <c r="U5" s="439"/>
      <c r="V5" s="5" t="s">
        <v>12</v>
      </c>
      <c r="W5" s="26" t="s">
        <v>0</v>
      </c>
      <c r="X5" s="196" t="s">
        <v>42</v>
      </c>
      <c r="Y5" s="18" t="s">
        <v>19</v>
      </c>
      <c r="Z5" s="25" t="s">
        <v>171</v>
      </c>
      <c r="AA5" s="18" t="s">
        <v>42</v>
      </c>
      <c r="AB5" s="441" t="s">
        <v>34</v>
      </c>
      <c r="AC5" s="441"/>
      <c r="AD5" s="421" t="s">
        <v>250</v>
      </c>
      <c r="AE5" s="442"/>
      <c r="AF5" s="442"/>
      <c r="AG5" s="443" t="s">
        <v>163</v>
      </c>
      <c r="AH5" s="444"/>
      <c r="AI5" s="444"/>
      <c r="AJ5" s="445"/>
      <c r="AK5" s="37" t="s">
        <v>12</v>
      </c>
      <c r="AL5" s="12" t="s">
        <v>0</v>
      </c>
      <c r="AM5" s="423" t="s">
        <v>71</v>
      </c>
      <c r="AN5" s="424"/>
      <c r="AO5" s="204" t="s">
        <v>243</v>
      </c>
      <c r="AP5" s="210" t="s">
        <v>187</v>
      </c>
      <c r="AQ5" s="413" t="s">
        <v>405</v>
      </c>
      <c r="AR5" s="414"/>
      <c r="AS5" s="415" t="s">
        <v>157</v>
      </c>
      <c r="AT5" s="416"/>
      <c r="AU5" s="196" t="s">
        <v>33</v>
      </c>
      <c r="AV5" s="196" t="s">
        <v>173</v>
      </c>
      <c r="AW5" s="415" t="s">
        <v>251</v>
      </c>
      <c r="AX5" s="416"/>
      <c r="AY5" s="37" t="s">
        <v>12</v>
      </c>
      <c r="AZ5" s="26" t="s">
        <v>0</v>
      </c>
      <c r="BA5" s="415" t="s">
        <v>254</v>
      </c>
      <c r="BB5" s="416"/>
      <c r="BC5" s="17" t="s">
        <v>256</v>
      </c>
      <c r="BD5" s="197" t="s">
        <v>37</v>
      </c>
      <c r="BE5" s="28" t="s">
        <v>167</v>
      </c>
      <c r="BF5" s="197" t="s">
        <v>44</v>
      </c>
      <c r="BG5" s="89" t="s">
        <v>168</v>
      </c>
      <c r="BH5" s="89"/>
      <c r="BI5" s="124" t="s">
        <v>259</v>
      </c>
      <c r="BJ5" s="18" t="s">
        <v>190</v>
      </c>
      <c r="BK5" s="18" t="s">
        <v>51</v>
      </c>
    </row>
    <row r="6" spans="1:65">
      <c r="A6" s="12" t="s">
        <v>13</v>
      </c>
      <c r="B6" s="12" t="s">
        <v>1</v>
      </c>
      <c r="C6" s="18" t="s">
        <v>5</v>
      </c>
      <c r="D6" s="232" t="s">
        <v>9</v>
      </c>
      <c r="E6" s="233" t="s">
        <v>126</v>
      </c>
      <c r="F6" s="233" t="s">
        <v>151</v>
      </c>
      <c r="G6" s="234" t="s">
        <v>134</v>
      </c>
      <c r="H6" s="28" t="s">
        <v>13</v>
      </c>
      <c r="I6" s="12" t="s">
        <v>1</v>
      </c>
      <c r="J6" s="23" t="s">
        <v>137</v>
      </c>
      <c r="K6" s="23" t="s">
        <v>20</v>
      </c>
      <c r="L6" s="23" t="s">
        <v>23</v>
      </c>
      <c r="M6" s="66" t="s">
        <v>18</v>
      </c>
      <c r="N6" s="67" t="s">
        <v>30</v>
      </c>
      <c r="O6" s="68" t="s">
        <v>31</v>
      </c>
      <c r="P6" s="69" t="s">
        <v>32</v>
      </c>
      <c r="Q6" s="23" t="s">
        <v>66</v>
      </c>
      <c r="R6" s="21" t="s">
        <v>248</v>
      </c>
      <c r="S6" s="18" t="s">
        <v>30</v>
      </c>
      <c r="T6" s="18" t="s">
        <v>31</v>
      </c>
      <c r="U6" s="18" t="s">
        <v>32</v>
      </c>
      <c r="V6" s="37" t="s">
        <v>13</v>
      </c>
      <c r="W6" s="26" t="s">
        <v>1</v>
      </c>
      <c r="X6" s="196" t="s">
        <v>76</v>
      </c>
      <c r="Y6" s="18" t="s">
        <v>66</v>
      </c>
      <c r="Z6" s="83" t="s">
        <v>172</v>
      </c>
      <c r="AA6" s="18" t="s">
        <v>114</v>
      </c>
      <c r="AB6" s="417" t="s">
        <v>145</v>
      </c>
      <c r="AC6" s="417"/>
      <c r="AD6" s="418" t="s">
        <v>35</v>
      </c>
      <c r="AE6" s="419"/>
      <c r="AF6" s="420"/>
      <c r="AG6" s="204" t="s">
        <v>164</v>
      </c>
      <c r="AH6" s="72" t="s">
        <v>176</v>
      </c>
      <c r="AI6" s="421" t="s">
        <v>72</v>
      </c>
      <c r="AJ6" s="422"/>
      <c r="AK6" s="37" t="s">
        <v>13</v>
      </c>
      <c r="AL6" s="12" t="s">
        <v>1</v>
      </c>
      <c r="AM6" s="423" t="s">
        <v>242</v>
      </c>
      <c r="AN6" s="424"/>
      <c r="AO6" s="204" t="s">
        <v>148</v>
      </c>
      <c r="AP6" s="210" t="s">
        <v>68</v>
      </c>
      <c r="AQ6" s="425"/>
      <c r="AR6" s="426"/>
      <c r="AS6" s="415" t="s">
        <v>158</v>
      </c>
      <c r="AT6" s="416"/>
      <c r="AU6" s="196" t="s">
        <v>37</v>
      </c>
      <c r="AV6" s="196" t="s">
        <v>123</v>
      </c>
      <c r="AW6" s="409" t="s">
        <v>400</v>
      </c>
      <c r="AX6" s="410"/>
      <c r="AY6" s="37" t="s">
        <v>13</v>
      </c>
      <c r="AZ6" s="26" t="s">
        <v>1</v>
      </c>
      <c r="BA6" s="409" t="s">
        <v>255</v>
      </c>
      <c r="BB6" s="410"/>
      <c r="BC6" s="18" t="s">
        <v>199</v>
      </c>
      <c r="BD6" s="197" t="s">
        <v>161</v>
      </c>
      <c r="BE6" s="28" t="s">
        <v>114</v>
      </c>
      <c r="BF6" s="197" t="s">
        <v>43</v>
      </c>
      <c r="BG6" s="89" t="s">
        <v>139</v>
      </c>
      <c r="BH6" s="89"/>
      <c r="BI6" s="124" t="s">
        <v>219</v>
      </c>
      <c r="BJ6" s="18" t="s">
        <v>58</v>
      </c>
      <c r="BK6" s="18" t="s">
        <v>52</v>
      </c>
    </row>
    <row r="7" spans="1:65">
      <c r="A7" s="12"/>
      <c r="B7" s="13" t="s">
        <v>2</v>
      </c>
      <c r="C7" s="25" t="s">
        <v>6</v>
      </c>
      <c r="D7" s="232" t="s">
        <v>130</v>
      </c>
      <c r="E7" s="233" t="s">
        <v>127</v>
      </c>
      <c r="F7" s="233" t="s">
        <v>10</v>
      </c>
      <c r="G7" s="234" t="s">
        <v>135</v>
      </c>
      <c r="H7" s="28"/>
      <c r="I7" s="13" t="s">
        <v>2</v>
      </c>
      <c r="J7" s="23" t="s">
        <v>138</v>
      </c>
      <c r="K7" s="23" t="s">
        <v>59</v>
      </c>
      <c r="L7" s="23" t="s">
        <v>24</v>
      </c>
      <c r="M7" s="66" t="s">
        <v>204</v>
      </c>
      <c r="N7" s="67" t="s">
        <v>26</v>
      </c>
      <c r="O7" s="68" t="s">
        <v>26</v>
      </c>
      <c r="P7" s="69" t="s">
        <v>26</v>
      </c>
      <c r="Q7" s="23" t="s">
        <v>67</v>
      </c>
      <c r="R7" s="21" t="s">
        <v>249</v>
      </c>
      <c r="S7" s="18" t="s">
        <v>26</v>
      </c>
      <c r="T7" s="18" t="s">
        <v>26</v>
      </c>
      <c r="U7" s="18" t="s">
        <v>26</v>
      </c>
      <c r="V7" s="37"/>
      <c r="W7" s="71" t="s">
        <v>2</v>
      </c>
      <c r="X7" s="84" t="s">
        <v>170</v>
      </c>
      <c r="Y7" s="18" t="s">
        <v>142</v>
      </c>
      <c r="Z7" s="18" t="s">
        <v>69</v>
      </c>
      <c r="AA7" s="18" t="s">
        <v>183</v>
      </c>
      <c r="AB7" s="78" t="s">
        <v>146</v>
      </c>
      <c r="AC7" s="203" t="s">
        <v>61</v>
      </c>
      <c r="AD7" s="22" t="s">
        <v>147</v>
      </c>
      <c r="AE7" s="20" t="s">
        <v>146</v>
      </c>
      <c r="AF7" s="209" t="s">
        <v>205</v>
      </c>
      <c r="AG7" s="204" t="s">
        <v>165</v>
      </c>
      <c r="AH7" s="23" t="s">
        <v>177</v>
      </c>
      <c r="AI7" s="20" t="s">
        <v>146</v>
      </c>
      <c r="AJ7" s="203" t="s">
        <v>61</v>
      </c>
      <c r="AK7" s="37"/>
      <c r="AL7" s="13" t="s">
        <v>2</v>
      </c>
      <c r="AM7" s="113" t="s">
        <v>206</v>
      </c>
      <c r="AN7" s="213" t="s">
        <v>205</v>
      </c>
      <c r="AO7" s="204" t="s">
        <v>185</v>
      </c>
      <c r="AP7" s="210" t="s">
        <v>189</v>
      </c>
      <c r="AQ7" s="20" t="s">
        <v>146</v>
      </c>
      <c r="AR7" s="203" t="s">
        <v>61</v>
      </c>
      <c r="AS7" s="20" t="s">
        <v>146</v>
      </c>
      <c r="AT7" s="203" t="s">
        <v>61</v>
      </c>
      <c r="AU7" s="196" t="s">
        <v>162</v>
      </c>
      <c r="AV7" s="18" t="s">
        <v>174</v>
      </c>
      <c r="AW7" s="86" t="s">
        <v>146</v>
      </c>
      <c r="AX7" s="23" t="s">
        <v>61</v>
      </c>
      <c r="AY7" s="5"/>
      <c r="AZ7" s="71" t="s">
        <v>2</v>
      </c>
      <c r="BA7" s="121" t="s">
        <v>146</v>
      </c>
      <c r="BB7" s="23" t="s">
        <v>61</v>
      </c>
      <c r="BC7" s="25" t="s">
        <v>39</v>
      </c>
      <c r="BD7" s="197" t="s">
        <v>38</v>
      </c>
      <c r="BE7" s="28" t="s">
        <v>208</v>
      </c>
      <c r="BF7" s="197" t="s">
        <v>46</v>
      </c>
      <c r="BG7" s="89" t="s">
        <v>76</v>
      </c>
      <c r="BH7" s="89"/>
      <c r="BI7" s="124" t="s">
        <v>260</v>
      </c>
      <c r="BJ7" s="18" t="s">
        <v>57</v>
      </c>
      <c r="BK7" s="18" t="s">
        <v>53</v>
      </c>
    </row>
    <row r="8" spans="1:65">
      <c r="A8" s="14"/>
      <c r="B8" s="14"/>
      <c r="C8" s="14"/>
      <c r="D8" s="235" t="s">
        <v>131</v>
      </c>
      <c r="E8" s="235" t="s">
        <v>128</v>
      </c>
      <c r="F8" s="236" t="s">
        <v>11</v>
      </c>
      <c r="G8" s="235" t="s">
        <v>140</v>
      </c>
      <c r="H8" s="28"/>
      <c r="I8" s="12"/>
      <c r="J8" s="23" t="s">
        <v>21</v>
      </c>
      <c r="K8" s="23" t="s">
        <v>28</v>
      </c>
      <c r="L8" s="23" t="s">
        <v>9</v>
      </c>
      <c r="M8" s="66" t="s">
        <v>29</v>
      </c>
      <c r="N8" s="67"/>
      <c r="O8" s="68"/>
      <c r="P8" s="69"/>
      <c r="Q8" s="23"/>
      <c r="R8" s="21" t="s">
        <v>70</v>
      </c>
      <c r="S8" s="18"/>
      <c r="T8" s="18"/>
      <c r="U8" s="18"/>
      <c r="V8" s="37"/>
      <c r="W8" s="26"/>
      <c r="X8" s="196" t="s">
        <v>73</v>
      </c>
      <c r="Y8" s="19" t="s">
        <v>143</v>
      </c>
      <c r="Z8" s="19" t="s">
        <v>70</v>
      </c>
      <c r="AA8" s="19" t="s">
        <v>184</v>
      </c>
      <c r="AB8" s="22" t="s">
        <v>144</v>
      </c>
      <c r="AC8" s="204" t="s">
        <v>62</v>
      </c>
      <c r="AD8" s="22" t="s">
        <v>102</v>
      </c>
      <c r="AE8" s="23" t="s">
        <v>144</v>
      </c>
      <c r="AF8" s="210" t="s">
        <v>62</v>
      </c>
      <c r="AG8" s="211"/>
      <c r="AH8" s="70" t="s">
        <v>178</v>
      </c>
      <c r="AI8" s="70" t="s">
        <v>179</v>
      </c>
      <c r="AJ8" s="204" t="s">
        <v>62</v>
      </c>
      <c r="AK8" s="37"/>
      <c r="AL8" s="12"/>
      <c r="AM8" s="114" t="s">
        <v>207</v>
      </c>
      <c r="AN8" s="214"/>
      <c r="AO8" s="211" t="s">
        <v>186</v>
      </c>
      <c r="AP8" s="210" t="s">
        <v>188</v>
      </c>
      <c r="AQ8" s="23" t="s">
        <v>179</v>
      </c>
      <c r="AR8" s="204" t="s">
        <v>62</v>
      </c>
      <c r="AS8" s="23" t="s">
        <v>179</v>
      </c>
      <c r="AT8" s="204"/>
      <c r="AU8" s="196" t="s">
        <v>38</v>
      </c>
      <c r="AV8" s="19" t="s">
        <v>175</v>
      </c>
      <c r="AW8" s="86" t="s">
        <v>144</v>
      </c>
      <c r="AX8" s="70"/>
      <c r="AY8" s="6"/>
      <c r="AZ8" s="26"/>
      <c r="BA8" s="122" t="s">
        <v>257</v>
      </c>
      <c r="BB8" s="70"/>
      <c r="BC8" s="19" t="s">
        <v>40</v>
      </c>
      <c r="BD8" s="195"/>
      <c r="BE8" s="16" t="s">
        <v>209</v>
      </c>
      <c r="BF8" s="197"/>
      <c r="BG8" s="89"/>
      <c r="BH8" s="89"/>
      <c r="BI8" s="13"/>
      <c r="BJ8" s="18" t="s">
        <v>53</v>
      </c>
      <c r="BK8" s="197" t="s">
        <v>54</v>
      </c>
    </row>
    <row r="9" spans="1:65">
      <c r="A9" s="105">
        <v>0</v>
      </c>
      <c r="B9" s="105">
        <v>1</v>
      </c>
      <c r="C9" s="105">
        <v>2</v>
      </c>
      <c r="D9" s="237">
        <v>3</v>
      </c>
      <c r="E9" s="237">
        <v>4</v>
      </c>
      <c r="F9" s="237">
        <v>5</v>
      </c>
      <c r="G9" s="237">
        <v>6</v>
      </c>
      <c r="H9" s="105"/>
      <c r="I9" s="10"/>
      <c r="J9" s="105">
        <v>11</v>
      </c>
      <c r="K9" s="105">
        <v>12</v>
      </c>
      <c r="L9" s="105">
        <v>13</v>
      </c>
      <c r="M9" s="105">
        <v>14</v>
      </c>
      <c r="N9" s="27">
        <v>15</v>
      </c>
      <c r="O9" s="27">
        <v>16</v>
      </c>
      <c r="P9" s="27">
        <v>17</v>
      </c>
      <c r="Q9" s="27">
        <v>18</v>
      </c>
      <c r="R9" s="27">
        <v>19</v>
      </c>
      <c r="S9" s="105">
        <v>20</v>
      </c>
      <c r="T9" s="105">
        <v>21</v>
      </c>
      <c r="U9" s="105">
        <v>22</v>
      </c>
      <c r="V9" s="105"/>
      <c r="W9" s="105"/>
      <c r="X9" s="105">
        <v>23</v>
      </c>
      <c r="Y9" s="27">
        <v>24</v>
      </c>
      <c r="Z9" s="27">
        <v>25</v>
      </c>
      <c r="AA9" s="27">
        <v>26</v>
      </c>
      <c r="AB9" s="27">
        <v>27</v>
      </c>
      <c r="AC9" s="205">
        <v>28</v>
      </c>
      <c r="AD9" s="27">
        <v>29</v>
      </c>
      <c r="AE9" s="27">
        <v>30</v>
      </c>
      <c r="AF9" s="205">
        <v>31</v>
      </c>
      <c r="AG9" s="212">
        <v>32</v>
      </c>
      <c r="AH9" s="19">
        <v>33</v>
      </c>
      <c r="AI9" s="19">
        <v>34</v>
      </c>
      <c r="AJ9" s="205">
        <v>35</v>
      </c>
      <c r="AK9" s="105"/>
      <c r="AL9" s="105"/>
      <c r="AM9" s="105">
        <v>7</v>
      </c>
      <c r="AN9" s="205">
        <v>8</v>
      </c>
      <c r="AO9" s="205">
        <v>9</v>
      </c>
      <c r="AP9" s="205">
        <v>10</v>
      </c>
      <c r="AQ9" s="105">
        <v>11</v>
      </c>
      <c r="AR9" s="205">
        <v>12</v>
      </c>
      <c r="AS9" s="105">
        <v>13</v>
      </c>
      <c r="AT9" s="205">
        <v>14</v>
      </c>
      <c r="AU9" s="105">
        <v>15</v>
      </c>
      <c r="AV9" s="105">
        <v>16</v>
      </c>
      <c r="AW9" s="105">
        <v>17</v>
      </c>
      <c r="AX9" s="105">
        <v>18</v>
      </c>
      <c r="AY9" s="105"/>
      <c r="AZ9" s="105"/>
      <c r="BA9" s="105">
        <v>19</v>
      </c>
      <c r="BB9" s="105">
        <v>20</v>
      </c>
      <c r="BC9" s="105">
        <v>21</v>
      </c>
      <c r="BD9" s="19">
        <v>22</v>
      </c>
      <c r="BE9" s="105">
        <v>23</v>
      </c>
      <c r="BF9" s="105">
        <v>24</v>
      </c>
      <c r="BG9" s="105">
        <v>25</v>
      </c>
      <c r="BH9" s="105"/>
      <c r="BI9" s="105">
        <v>26</v>
      </c>
      <c r="BJ9" s="105">
        <v>27</v>
      </c>
      <c r="BK9" s="105">
        <v>28</v>
      </c>
      <c r="BL9" s="35"/>
      <c r="BM9" s="35"/>
    </row>
    <row r="10" spans="1:65" s="162" customFormat="1" ht="15.75">
      <c r="A10" s="349">
        <v>1</v>
      </c>
      <c r="B10" s="350" t="s">
        <v>276</v>
      </c>
      <c r="C10" s="322" t="s">
        <v>244</v>
      </c>
      <c r="D10" s="351">
        <v>25</v>
      </c>
      <c r="E10" s="351" t="s">
        <v>366</v>
      </c>
      <c r="F10" s="352" t="s">
        <v>438</v>
      </c>
      <c r="G10" s="352">
        <v>13094</v>
      </c>
      <c r="H10" s="349">
        <v>1</v>
      </c>
      <c r="I10" s="350" t="s">
        <v>276</v>
      </c>
      <c r="J10" s="315"/>
      <c r="K10" s="315">
        <v>0.25</v>
      </c>
      <c r="L10" s="315"/>
      <c r="M10" s="307">
        <f t="shared" ref="M10:M54" si="0">G10*(1+J10)*(1+K10)</f>
        <v>16367.5</v>
      </c>
      <c r="N10" s="315"/>
      <c r="O10" s="164">
        <v>17</v>
      </c>
      <c r="P10" s="164">
        <v>2</v>
      </c>
      <c r="Q10" s="315">
        <v>1</v>
      </c>
      <c r="R10" s="315"/>
      <c r="S10" s="307">
        <f>M10*N10/18</f>
        <v>0</v>
      </c>
      <c r="T10" s="307">
        <f>M10*O10/18</f>
        <v>15458.194444444445</v>
      </c>
      <c r="U10" s="307">
        <f>M10*P10/18</f>
        <v>1818.6111111111111</v>
      </c>
      <c r="V10" s="349">
        <v>1</v>
      </c>
      <c r="W10" s="350" t="s">
        <v>276</v>
      </c>
      <c r="X10" s="316">
        <f>S10+T10+U10</f>
        <v>17276.805555555555</v>
      </c>
      <c r="Y10" s="307">
        <f t="shared" ref="Y10:Y13" si="1">M10*Q10/18</f>
        <v>909.30555555555554</v>
      </c>
      <c r="Z10" s="307">
        <f>G10*(1+J10)*(1+K10+0.2)*R10/18</f>
        <v>0</v>
      </c>
      <c r="AA10" s="307">
        <f>X10+Y10+Z10</f>
        <v>18186.111111111109</v>
      </c>
      <c r="AB10" s="347"/>
      <c r="AC10" s="348">
        <f t="shared" ref="AC10:AC53" si="2">M10*AB10/100</f>
        <v>0</v>
      </c>
      <c r="AD10" s="307">
        <v>17</v>
      </c>
      <c r="AE10" s="353">
        <v>10</v>
      </c>
      <c r="AF10" s="348">
        <f t="shared" ref="AF10:AF52" si="3">(M10*AD10/18)*AE10/100</f>
        <v>1545.8194444444443</v>
      </c>
      <c r="AG10" s="348">
        <f>M10*5%</f>
        <v>818.375</v>
      </c>
      <c r="AH10" s="307"/>
      <c r="AI10" s="307">
        <v>0</v>
      </c>
      <c r="AJ10" s="348">
        <f t="shared" ref="AJ10:AJ47" si="4">M10*AI10/100</f>
        <v>0</v>
      </c>
      <c r="AK10" s="349">
        <v>1</v>
      </c>
      <c r="AL10" s="350" t="s">
        <v>276</v>
      </c>
      <c r="AM10" s="354"/>
      <c r="AN10" s="355"/>
      <c r="AO10" s="356">
        <v>0</v>
      </c>
      <c r="AP10" s="356">
        <v>0</v>
      </c>
      <c r="AQ10" s="347"/>
      <c r="AR10" s="348">
        <f>M10*AQ10/100</f>
        <v>0</v>
      </c>
      <c r="AS10" s="347"/>
      <c r="AT10" s="356">
        <v>0</v>
      </c>
      <c r="AU10" s="307">
        <f>AC10+AF10+AG10+AH10+AJ10+AN10+AO10+AP10+AR10+AT10</f>
        <v>2364.1944444444443</v>
      </c>
      <c r="AV10" s="307">
        <f>AA10+AU10</f>
        <v>20550.305555555555</v>
      </c>
      <c r="AW10" s="307">
        <v>10</v>
      </c>
      <c r="AX10" s="307">
        <f t="shared" ref="AX10:AX52" si="5">AV10*AW10/100</f>
        <v>2055.0305555555556</v>
      </c>
      <c r="AY10" s="349">
        <v>1</v>
      </c>
      <c r="AZ10" s="350" t="s">
        <v>276</v>
      </c>
      <c r="BA10" s="350">
        <v>0.05</v>
      </c>
      <c r="BB10" s="357">
        <f>M10*BA10</f>
        <v>818.375</v>
      </c>
      <c r="BC10" s="316"/>
      <c r="BD10" s="307">
        <f>AX10+BB10+BC10</f>
        <v>2873.4055555555556</v>
      </c>
      <c r="BE10" s="307">
        <f>AV10+BD10</f>
        <v>23423.711111111112</v>
      </c>
      <c r="BF10" s="307">
        <f>BE10*0.15</f>
        <v>3513.5566666666668</v>
      </c>
      <c r="BG10" s="87">
        <f>BE10+BF10</f>
        <v>26937.267777777779</v>
      </c>
      <c r="BH10" s="358"/>
      <c r="BI10" s="358">
        <f>N10+O10+P10+Q10</f>
        <v>20</v>
      </c>
      <c r="BJ10" s="359">
        <f>BI10/18</f>
        <v>1.1111111111111112</v>
      </c>
      <c r="BK10" s="360">
        <v>1</v>
      </c>
      <c r="BL10" s="174"/>
      <c r="BM10" s="174"/>
    </row>
    <row r="11" spans="1:65" s="166" customFormat="1" ht="15.75">
      <c r="A11" s="349">
        <v>2</v>
      </c>
      <c r="B11" s="350" t="s">
        <v>277</v>
      </c>
      <c r="C11" s="322" t="s">
        <v>244</v>
      </c>
      <c r="D11" s="351">
        <v>16</v>
      </c>
      <c r="E11" s="351"/>
      <c r="F11" s="352" t="s">
        <v>372</v>
      </c>
      <c r="G11" s="352">
        <v>11280</v>
      </c>
      <c r="H11" s="349">
        <v>2</v>
      </c>
      <c r="I11" s="350" t="s">
        <v>277</v>
      </c>
      <c r="J11" s="315"/>
      <c r="K11" s="315">
        <v>0.25</v>
      </c>
      <c r="L11" s="315"/>
      <c r="M11" s="307">
        <f t="shared" si="0"/>
        <v>14100</v>
      </c>
      <c r="N11" s="315"/>
      <c r="O11" s="164">
        <v>17</v>
      </c>
      <c r="P11" s="315"/>
      <c r="Q11" s="315">
        <v>1</v>
      </c>
      <c r="R11" s="315"/>
      <c r="S11" s="307">
        <f t="shared" ref="S11:S52" si="6">M11*N11/18</f>
        <v>0</v>
      </c>
      <c r="T11" s="307">
        <f t="shared" ref="T11:T52" si="7">M11*O11/18</f>
        <v>13316.666666666666</v>
      </c>
      <c r="U11" s="307">
        <f t="shared" ref="U11:U52" si="8">M11*P11/18</f>
        <v>0</v>
      </c>
      <c r="V11" s="349">
        <v>2</v>
      </c>
      <c r="W11" s="350" t="s">
        <v>277</v>
      </c>
      <c r="X11" s="316">
        <f t="shared" ref="X11:X13" si="9">S11+T11+U11</f>
        <v>13316.666666666666</v>
      </c>
      <c r="Y11" s="307">
        <f t="shared" si="1"/>
        <v>783.33333333333337</v>
      </c>
      <c r="Z11" s="307">
        <f t="shared" ref="Z11:Z13" si="10">G11*(1+J11)*(1+K11+0.2)*R11/18</f>
        <v>0</v>
      </c>
      <c r="AA11" s="307">
        <f t="shared" ref="AA11:AA13" si="11">X11+Y11+Z11</f>
        <v>14100</v>
      </c>
      <c r="AB11" s="347"/>
      <c r="AC11" s="348">
        <f t="shared" si="2"/>
        <v>0</v>
      </c>
      <c r="AD11" s="307">
        <v>17</v>
      </c>
      <c r="AE11" s="353">
        <v>10</v>
      </c>
      <c r="AF11" s="348">
        <f t="shared" si="3"/>
        <v>1331.6666666666665</v>
      </c>
      <c r="AG11" s="348">
        <f t="shared" ref="AG11:AG24" si="12">M11*5%</f>
        <v>705</v>
      </c>
      <c r="AH11" s="307"/>
      <c r="AI11" s="307"/>
      <c r="AJ11" s="348"/>
      <c r="AK11" s="349">
        <v>2</v>
      </c>
      <c r="AL11" s="350" t="s">
        <v>277</v>
      </c>
      <c r="AM11" s="361"/>
      <c r="AN11" s="355"/>
      <c r="AO11" s="362"/>
      <c r="AP11" s="356"/>
      <c r="AQ11" s="347">
        <v>5</v>
      </c>
      <c r="AR11" s="348">
        <f t="shared" ref="AR11:AR52" si="13">M11*AQ11/100</f>
        <v>705</v>
      </c>
      <c r="AS11" s="347"/>
      <c r="AT11" s="356"/>
      <c r="AU11" s="307">
        <f t="shared" ref="AU11:AU55" si="14">AC11+AF11+AG11+AH11+AJ11+AN11+AO11+AP11+AR11+AT11</f>
        <v>2741.6666666666665</v>
      </c>
      <c r="AV11" s="307">
        <f t="shared" ref="AV11:AV55" si="15">AA11+AU11</f>
        <v>16841.666666666668</v>
      </c>
      <c r="AW11" s="307"/>
      <c r="AX11" s="307">
        <f t="shared" si="5"/>
        <v>0</v>
      </c>
      <c r="AY11" s="349">
        <v>2</v>
      </c>
      <c r="AZ11" s="350" t="s">
        <v>277</v>
      </c>
      <c r="BA11" s="350">
        <v>0.05</v>
      </c>
      <c r="BB11" s="357">
        <f t="shared" ref="BB11:BB46" si="16">M11*BA11</f>
        <v>705</v>
      </c>
      <c r="BC11" s="316"/>
      <c r="BD11" s="307">
        <f t="shared" ref="BD11:BD55" si="17">AX11+BB11+BC11</f>
        <v>705</v>
      </c>
      <c r="BE11" s="307">
        <f t="shared" ref="BE11:BE55" si="18">AV11+BD11</f>
        <v>17546.666666666668</v>
      </c>
      <c r="BF11" s="307">
        <f t="shared" ref="BF11:BF55" si="19">BE11*0.15</f>
        <v>2632</v>
      </c>
      <c r="BG11" s="87">
        <f t="shared" ref="BG11:BG55" si="20">BE11+BF11</f>
        <v>20178.666666666668</v>
      </c>
      <c r="BH11" s="358"/>
      <c r="BI11" s="358">
        <f t="shared" ref="BI11:BI55" si="21">N11+O11+P11+Q11</f>
        <v>18</v>
      </c>
      <c r="BJ11" s="359">
        <f t="shared" ref="BJ11:BJ55" si="22">BI11/18</f>
        <v>1</v>
      </c>
      <c r="BK11" s="360">
        <v>1</v>
      </c>
      <c r="BL11" s="245"/>
      <c r="BM11" s="245"/>
    </row>
    <row r="12" spans="1:65" s="162" customFormat="1" ht="15.75">
      <c r="A12" s="349">
        <v>3</v>
      </c>
      <c r="B12" s="350" t="s">
        <v>279</v>
      </c>
      <c r="C12" s="322" t="s">
        <v>244</v>
      </c>
      <c r="D12" s="351">
        <v>14</v>
      </c>
      <c r="E12" s="351"/>
      <c r="F12" s="352" t="s">
        <v>372</v>
      </c>
      <c r="G12" s="352">
        <v>11280</v>
      </c>
      <c r="H12" s="349">
        <v>3</v>
      </c>
      <c r="I12" s="350" t="s">
        <v>279</v>
      </c>
      <c r="J12" s="315"/>
      <c r="K12" s="315">
        <v>0.25</v>
      </c>
      <c r="L12" s="315"/>
      <c r="M12" s="307">
        <f t="shared" si="0"/>
        <v>14100</v>
      </c>
      <c r="N12" s="315"/>
      <c r="O12" s="315"/>
      <c r="P12" s="164">
        <v>13</v>
      </c>
      <c r="Q12" s="315">
        <v>1</v>
      </c>
      <c r="R12" s="315"/>
      <c r="S12" s="307">
        <f t="shared" si="6"/>
        <v>0</v>
      </c>
      <c r="T12" s="307">
        <f t="shared" si="7"/>
        <v>0</v>
      </c>
      <c r="U12" s="307">
        <f t="shared" si="8"/>
        <v>10183.333333333334</v>
      </c>
      <c r="V12" s="349">
        <v>3</v>
      </c>
      <c r="W12" s="350" t="s">
        <v>279</v>
      </c>
      <c r="X12" s="316">
        <f t="shared" si="9"/>
        <v>10183.333333333334</v>
      </c>
      <c r="Y12" s="307">
        <f t="shared" si="1"/>
        <v>783.33333333333337</v>
      </c>
      <c r="Z12" s="307">
        <f t="shared" si="10"/>
        <v>0</v>
      </c>
      <c r="AA12" s="307">
        <f t="shared" si="11"/>
        <v>10966.666666666668</v>
      </c>
      <c r="AB12" s="347">
        <v>13</v>
      </c>
      <c r="AC12" s="348">
        <f t="shared" si="2"/>
        <v>1833</v>
      </c>
      <c r="AD12" s="307">
        <v>14</v>
      </c>
      <c r="AE12" s="353">
        <v>5</v>
      </c>
      <c r="AF12" s="348">
        <f t="shared" si="3"/>
        <v>548.33333333333326</v>
      </c>
      <c r="AG12" s="348"/>
      <c r="AH12" s="307"/>
      <c r="AI12" s="307"/>
      <c r="AJ12" s="348"/>
      <c r="AK12" s="349">
        <v>3</v>
      </c>
      <c r="AL12" s="350" t="s">
        <v>279</v>
      </c>
      <c r="AM12" s="361"/>
      <c r="AN12" s="355"/>
      <c r="AO12" s="362"/>
      <c r="AP12" s="356"/>
      <c r="AQ12" s="347"/>
      <c r="AR12" s="348">
        <f t="shared" si="13"/>
        <v>0</v>
      </c>
      <c r="AS12" s="347"/>
      <c r="AT12" s="356"/>
      <c r="AU12" s="307">
        <f t="shared" si="14"/>
        <v>2381.333333333333</v>
      </c>
      <c r="AV12" s="307">
        <f t="shared" si="15"/>
        <v>13348</v>
      </c>
      <c r="AW12" s="307"/>
      <c r="AX12" s="307">
        <f t="shared" si="5"/>
        <v>0</v>
      </c>
      <c r="AY12" s="349">
        <v>3</v>
      </c>
      <c r="AZ12" s="350" t="s">
        <v>279</v>
      </c>
      <c r="BA12" s="350">
        <v>0.04</v>
      </c>
      <c r="BB12" s="357">
        <f>M12*BA12*BI12/18</f>
        <v>438.66666666666669</v>
      </c>
      <c r="BC12" s="316"/>
      <c r="BD12" s="307">
        <f t="shared" si="17"/>
        <v>438.66666666666669</v>
      </c>
      <c r="BE12" s="307">
        <f t="shared" si="18"/>
        <v>13786.666666666666</v>
      </c>
      <c r="BF12" s="307">
        <f t="shared" si="19"/>
        <v>2068</v>
      </c>
      <c r="BG12" s="87">
        <f t="shared" si="20"/>
        <v>15854.666666666666</v>
      </c>
      <c r="BH12" s="358"/>
      <c r="BI12" s="358">
        <f t="shared" si="21"/>
        <v>14</v>
      </c>
      <c r="BJ12" s="359">
        <f t="shared" si="22"/>
        <v>0.77777777777777779</v>
      </c>
      <c r="BK12" s="360">
        <v>0.83</v>
      </c>
      <c r="BL12" s="174"/>
      <c r="BM12" s="174"/>
    </row>
    <row r="13" spans="1:65" s="162" customFormat="1" ht="15.75">
      <c r="A13" s="349">
        <v>4</v>
      </c>
      <c r="B13" s="350" t="s">
        <v>280</v>
      </c>
      <c r="C13" s="322" t="s">
        <v>244</v>
      </c>
      <c r="D13" s="351">
        <v>21</v>
      </c>
      <c r="E13" s="351"/>
      <c r="F13" s="352" t="s">
        <v>372</v>
      </c>
      <c r="G13" s="352">
        <v>11280</v>
      </c>
      <c r="H13" s="349">
        <v>4</v>
      </c>
      <c r="I13" s="350" t="s">
        <v>280</v>
      </c>
      <c r="J13" s="315"/>
      <c r="K13" s="315">
        <v>0.25</v>
      </c>
      <c r="L13" s="315"/>
      <c r="M13" s="307">
        <f t="shared" si="0"/>
        <v>14100</v>
      </c>
      <c r="N13" s="315"/>
      <c r="O13" s="164">
        <v>19</v>
      </c>
      <c r="P13" s="315"/>
      <c r="Q13" s="315">
        <v>1</v>
      </c>
      <c r="R13" s="315"/>
      <c r="S13" s="307">
        <f t="shared" si="6"/>
        <v>0</v>
      </c>
      <c r="T13" s="307">
        <f t="shared" si="7"/>
        <v>14883.333333333334</v>
      </c>
      <c r="U13" s="307">
        <f t="shared" si="8"/>
        <v>0</v>
      </c>
      <c r="V13" s="349">
        <v>4</v>
      </c>
      <c r="W13" s="350" t="s">
        <v>280</v>
      </c>
      <c r="X13" s="316">
        <f t="shared" si="9"/>
        <v>14883.333333333334</v>
      </c>
      <c r="Y13" s="307">
        <f t="shared" si="1"/>
        <v>783.33333333333337</v>
      </c>
      <c r="Z13" s="307">
        <f t="shared" si="10"/>
        <v>0</v>
      </c>
      <c r="AA13" s="307">
        <f t="shared" si="11"/>
        <v>15666.666666666668</v>
      </c>
      <c r="AB13" s="347">
        <v>13</v>
      </c>
      <c r="AC13" s="348">
        <f t="shared" si="2"/>
        <v>1833</v>
      </c>
      <c r="AD13" s="307">
        <v>19</v>
      </c>
      <c r="AE13" s="353">
        <v>10</v>
      </c>
      <c r="AF13" s="348">
        <f t="shared" si="3"/>
        <v>1488.3333333333335</v>
      </c>
      <c r="AG13" s="348">
        <f t="shared" si="12"/>
        <v>705</v>
      </c>
      <c r="AH13" s="307"/>
      <c r="AI13" s="307"/>
      <c r="AJ13" s="348"/>
      <c r="AK13" s="349">
        <v>4</v>
      </c>
      <c r="AL13" s="350" t="s">
        <v>280</v>
      </c>
      <c r="AM13" s="361"/>
      <c r="AN13" s="355"/>
      <c r="AO13" s="362"/>
      <c r="AP13" s="356"/>
      <c r="AQ13" s="347"/>
      <c r="AR13" s="348">
        <f t="shared" si="13"/>
        <v>0</v>
      </c>
      <c r="AS13" s="347"/>
      <c r="AT13" s="356"/>
      <c r="AU13" s="307">
        <f t="shared" si="14"/>
        <v>4026.3333333333335</v>
      </c>
      <c r="AV13" s="307">
        <f t="shared" si="15"/>
        <v>19693</v>
      </c>
      <c r="AW13" s="307"/>
      <c r="AX13" s="307">
        <f t="shared" si="5"/>
        <v>0</v>
      </c>
      <c r="AY13" s="349">
        <v>4</v>
      </c>
      <c r="AZ13" s="350" t="s">
        <v>280</v>
      </c>
      <c r="BA13" s="350">
        <v>0.05</v>
      </c>
      <c r="BB13" s="357">
        <f>M13*BA13/18*BI13</f>
        <v>783.33333333333326</v>
      </c>
      <c r="BC13" s="316"/>
      <c r="BD13" s="307">
        <f t="shared" si="17"/>
        <v>783.33333333333326</v>
      </c>
      <c r="BE13" s="307">
        <f t="shared" si="18"/>
        <v>20476.333333333332</v>
      </c>
      <c r="BF13" s="307">
        <f t="shared" si="19"/>
        <v>3071.45</v>
      </c>
      <c r="BG13" s="87">
        <f t="shared" si="20"/>
        <v>23547.783333333333</v>
      </c>
      <c r="BH13" s="358"/>
      <c r="BI13" s="358">
        <f t="shared" si="21"/>
        <v>20</v>
      </c>
      <c r="BJ13" s="359">
        <f t="shared" si="22"/>
        <v>1.1111111111111112</v>
      </c>
      <c r="BK13" s="360">
        <v>1</v>
      </c>
      <c r="BL13" s="174"/>
      <c r="BM13" s="174"/>
    </row>
    <row r="14" spans="1:65" s="162" customFormat="1" ht="15.75">
      <c r="A14" s="349">
        <v>5</v>
      </c>
      <c r="B14" s="363" t="s">
        <v>286</v>
      </c>
      <c r="C14" s="322" t="s">
        <v>245</v>
      </c>
      <c r="D14" s="364">
        <v>40</v>
      </c>
      <c r="E14" s="364"/>
      <c r="F14" s="352" t="s">
        <v>372</v>
      </c>
      <c r="G14" s="352">
        <v>11280</v>
      </c>
      <c r="H14" s="349">
        <v>5</v>
      </c>
      <c r="I14" s="363" t="s">
        <v>286</v>
      </c>
      <c r="J14" s="315"/>
      <c r="K14" s="315">
        <v>0.25</v>
      </c>
      <c r="L14" s="315"/>
      <c r="M14" s="307">
        <f t="shared" si="0"/>
        <v>14100</v>
      </c>
      <c r="N14" s="315"/>
      <c r="O14" s="164">
        <v>15</v>
      </c>
      <c r="P14" s="164">
        <v>4</v>
      </c>
      <c r="Q14" s="315">
        <v>1</v>
      </c>
      <c r="R14" s="315"/>
      <c r="S14" s="307">
        <f>M14*N14/18</f>
        <v>0</v>
      </c>
      <c r="T14" s="307">
        <f>M14*O14/18</f>
        <v>11750</v>
      </c>
      <c r="U14" s="307">
        <f>M14*P14/18</f>
        <v>3133.3333333333335</v>
      </c>
      <c r="V14" s="349">
        <v>5</v>
      </c>
      <c r="W14" s="363" t="s">
        <v>286</v>
      </c>
      <c r="X14" s="316">
        <f>S14+T14+U14</f>
        <v>14883.333333333334</v>
      </c>
      <c r="Y14" s="307">
        <f>M14*Q14/18</f>
        <v>783.33333333333337</v>
      </c>
      <c r="Z14" s="307">
        <f>G14*(1+J14)*(1+K14+0.2)*R14/18</f>
        <v>0</v>
      </c>
      <c r="AA14" s="307">
        <f>X14+Y14+Z14</f>
        <v>15666.666666666668</v>
      </c>
      <c r="AB14" s="347"/>
      <c r="AC14" s="348">
        <f>M14*AB14/100</f>
        <v>0</v>
      </c>
      <c r="AD14" s="307">
        <v>19</v>
      </c>
      <c r="AE14" s="347">
        <v>10</v>
      </c>
      <c r="AF14" s="348">
        <f>(M14*AD14/18)*AE14/100</f>
        <v>1488.3333333333335</v>
      </c>
      <c r="AG14" s="348">
        <f t="shared" si="12"/>
        <v>705</v>
      </c>
      <c r="AH14" s="307"/>
      <c r="AI14" s="315"/>
      <c r="AJ14" s="348"/>
      <c r="AK14" s="349">
        <v>5</v>
      </c>
      <c r="AL14" s="363" t="s">
        <v>286</v>
      </c>
      <c r="AM14" s="365"/>
      <c r="AN14" s="355"/>
      <c r="AO14" s="362"/>
      <c r="AP14" s="356"/>
      <c r="AQ14" s="347"/>
      <c r="AR14" s="348">
        <f>M14*AQ14/100</f>
        <v>0</v>
      </c>
      <c r="AS14" s="347">
        <v>10</v>
      </c>
      <c r="AT14" s="348">
        <f>(M14*19/18)*AS14/100</f>
        <v>1488.3333333333335</v>
      </c>
      <c r="AU14" s="307">
        <f t="shared" si="14"/>
        <v>3681.666666666667</v>
      </c>
      <c r="AV14" s="307">
        <f t="shared" si="15"/>
        <v>19348.333333333336</v>
      </c>
      <c r="AW14" s="307"/>
      <c r="AX14" s="307">
        <f>AV14*AW14/100</f>
        <v>0</v>
      </c>
      <c r="AY14" s="349">
        <v>5</v>
      </c>
      <c r="AZ14" s="363" t="s">
        <v>286</v>
      </c>
      <c r="BA14" s="363">
        <v>0.05</v>
      </c>
      <c r="BB14" s="357">
        <f t="shared" si="16"/>
        <v>705</v>
      </c>
      <c r="BC14" s="316"/>
      <c r="BD14" s="307">
        <f t="shared" si="17"/>
        <v>705</v>
      </c>
      <c r="BE14" s="307">
        <f t="shared" si="18"/>
        <v>20053.333333333336</v>
      </c>
      <c r="BF14" s="307">
        <f t="shared" si="19"/>
        <v>3008.0000000000005</v>
      </c>
      <c r="BG14" s="87">
        <f t="shared" si="20"/>
        <v>23061.333333333336</v>
      </c>
      <c r="BH14" s="358"/>
      <c r="BI14" s="358">
        <f t="shared" si="21"/>
        <v>20</v>
      </c>
      <c r="BJ14" s="359">
        <f t="shared" si="22"/>
        <v>1.1111111111111112</v>
      </c>
      <c r="BK14" s="360">
        <v>1</v>
      </c>
      <c r="BL14" s="174"/>
      <c r="BM14" s="174"/>
    </row>
    <row r="15" spans="1:65" s="162" customFormat="1" ht="15.75">
      <c r="A15" s="349">
        <v>6</v>
      </c>
      <c r="B15" s="350" t="s">
        <v>278</v>
      </c>
      <c r="C15" s="322" t="s">
        <v>244</v>
      </c>
      <c r="D15" s="351">
        <v>19</v>
      </c>
      <c r="E15" s="351"/>
      <c r="F15" s="352" t="s">
        <v>444</v>
      </c>
      <c r="G15" s="352">
        <v>13094</v>
      </c>
      <c r="H15" s="349">
        <v>6</v>
      </c>
      <c r="I15" s="350" t="s">
        <v>278</v>
      </c>
      <c r="J15" s="315"/>
      <c r="K15" s="315">
        <v>0.25</v>
      </c>
      <c r="L15" s="315"/>
      <c r="M15" s="307">
        <f>G15*(1+J15)*(1+K15)</f>
        <v>16367.5</v>
      </c>
      <c r="N15" s="315"/>
      <c r="O15" s="164">
        <v>14</v>
      </c>
      <c r="P15" s="315"/>
      <c r="Q15" s="315">
        <v>1</v>
      </c>
      <c r="R15" s="315"/>
      <c r="S15" s="307">
        <f>M15*N15/18</f>
        <v>0</v>
      </c>
      <c r="T15" s="307">
        <f>M15*O15/18</f>
        <v>12730.277777777777</v>
      </c>
      <c r="U15" s="307">
        <f>M15*P15/18</f>
        <v>0</v>
      </c>
      <c r="V15" s="349">
        <v>6</v>
      </c>
      <c r="W15" s="350" t="s">
        <v>278</v>
      </c>
      <c r="X15" s="316">
        <f>S15+T15+U15</f>
        <v>12730.277777777777</v>
      </c>
      <c r="Y15" s="307">
        <f>M15*Q15/18</f>
        <v>909.30555555555554</v>
      </c>
      <c r="Z15" s="307">
        <f>G15*(1+J15)*(1+K15+0.2)*R15/18</f>
        <v>0</v>
      </c>
      <c r="AA15" s="307">
        <f>X15+Y15+Z15</f>
        <v>13639.583333333332</v>
      </c>
      <c r="AB15" s="347"/>
      <c r="AC15" s="348">
        <f>M15*AB15/100</f>
        <v>0</v>
      </c>
      <c r="AD15" s="307">
        <v>14</v>
      </c>
      <c r="AE15" s="353">
        <v>10</v>
      </c>
      <c r="AF15" s="348">
        <f>(M15*AD15/18)*AE15/100</f>
        <v>1273.0277777777778</v>
      </c>
      <c r="AG15" s="348">
        <f t="shared" si="12"/>
        <v>818.375</v>
      </c>
      <c r="AH15" s="307"/>
      <c r="AI15" s="307"/>
      <c r="AJ15" s="348"/>
      <c r="AK15" s="349">
        <v>6</v>
      </c>
      <c r="AL15" s="350" t="s">
        <v>278</v>
      </c>
      <c r="AM15" s="361"/>
      <c r="AN15" s="355"/>
      <c r="AO15" s="362"/>
      <c r="AP15" s="356"/>
      <c r="AQ15" s="347"/>
      <c r="AR15" s="348">
        <f>M15*AQ15/100</f>
        <v>0</v>
      </c>
      <c r="AS15" s="347"/>
      <c r="AT15" s="356"/>
      <c r="AU15" s="307">
        <f t="shared" si="14"/>
        <v>2091.4027777777778</v>
      </c>
      <c r="AV15" s="307">
        <f t="shared" si="15"/>
        <v>15730.986111111109</v>
      </c>
      <c r="AW15" s="307"/>
      <c r="AX15" s="307">
        <f>AV15*AW15/100</f>
        <v>0</v>
      </c>
      <c r="AY15" s="349">
        <v>6</v>
      </c>
      <c r="AZ15" s="350" t="s">
        <v>278</v>
      </c>
      <c r="BA15" s="350">
        <v>0.05</v>
      </c>
      <c r="BB15" s="357">
        <f>M15*BA15*BI15/18</f>
        <v>681.97916666666663</v>
      </c>
      <c r="BC15" s="316"/>
      <c r="BD15" s="307">
        <f t="shared" si="17"/>
        <v>681.97916666666663</v>
      </c>
      <c r="BE15" s="307">
        <f t="shared" si="18"/>
        <v>16412.965277777777</v>
      </c>
      <c r="BF15" s="307">
        <f t="shared" si="19"/>
        <v>2461.9447916666663</v>
      </c>
      <c r="BG15" s="87">
        <f t="shared" si="20"/>
        <v>18874.910069444442</v>
      </c>
      <c r="BH15" s="358"/>
      <c r="BI15" s="358">
        <f t="shared" si="21"/>
        <v>15</v>
      </c>
      <c r="BJ15" s="359">
        <f t="shared" si="22"/>
        <v>0.83333333333333337</v>
      </c>
      <c r="BK15" s="367">
        <v>0.94</v>
      </c>
      <c r="BL15" s="174"/>
      <c r="BM15" s="174"/>
    </row>
    <row r="16" spans="1:65" s="162" customFormat="1" ht="15.75">
      <c r="A16" s="349">
        <v>7</v>
      </c>
      <c r="B16" s="350" t="s">
        <v>449</v>
      </c>
      <c r="C16" s="322" t="s">
        <v>245</v>
      </c>
      <c r="D16" s="351">
        <v>30</v>
      </c>
      <c r="E16" s="351"/>
      <c r="F16" s="352" t="s">
        <v>372</v>
      </c>
      <c r="G16" s="352">
        <v>11280</v>
      </c>
      <c r="H16" s="349">
        <v>7</v>
      </c>
      <c r="I16" s="350" t="s">
        <v>449</v>
      </c>
      <c r="J16" s="315"/>
      <c r="K16" s="315">
        <v>0.25</v>
      </c>
      <c r="L16" s="315"/>
      <c r="M16" s="307">
        <f>G16*(1+J16)*(1+K16)</f>
        <v>14100</v>
      </c>
      <c r="N16" s="315"/>
      <c r="O16" s="164">
        <v>6</v>
      </c>
      <c r="P16" s="315"/>
      <c r="Q16" s="315"/>
      <c r="R16" s="315"/>
      <c r="S16" s="307">
        <f>M16*N16/18</f>
        <v>0</v>
      </c>
      <c r="T16" s="307">
        <f>M16*O16/18</f>
        <v>4700</v>
      </c>
      <c r="U16" s="307">
        <f>M16*P16/18</f>
        <v>0</v>
      </c>
      <c r="V16" s="349">
        <v>7</v>
      </c>
      <c r="W16" s="350" t="s">
        <v>449</v>
      </c>
      <c r="X16" s="316">
        <f t="shared" ref="X16:X55" si="23">S16+T16+U16</f>
        <v>4700</v>
      </c>
      <c r="Y16" s="307">
        <f t="shared" ref="Y16:Y55" si="24">M16*Q16/18</f>
        <v>0</v>
      </c>
      <c r="Z16" s="307">
        <f t="shared" ref="Z16:Z55" si="25">G16*(1+J16)*(1+K16+0.2)*R16/18</f>
        <v>0</v>
      </c>
      <c r="AA16" s="307">
        <f t="shared" ref="AA16:AA55" si="26">X16+Y16+Z16</f>
        <v>4700</v>
      </c>
      <c r="AB16" s="347"/>
      <c r="AC16" s="348">
        <f>M16*AB16/100</f>
        <v>0</v>
      </c>
      <c r="AD16" s="307">
        <v>6</v>
      </c>
      <c r="AE16" s="353"/>
      <c r="AF16" s="348"/>
      <c r="AG16" s="348"/>
      <c r="AH16" s="307"/>
      <c r="AI16" s="307"/>
      <c r="AJ16" s="348"/>
      <c r="AK16" s="349">
        <v>7</v>
      </c>
      <c r="AL16" s="350" t="s">
        <v>449</v>
      </c>
      <c r="AM16" s="361"/>
      <c r="AN16" s="355"/>
      <c r="AO16" s="362"/>
      <c r="AP16" s="356"/>
      <c r="AQ16" s="347"/>
      <c r="AR16" s="348">
        <f>M16*AQ16/100</f>
        <v>0</v>
      </c>
      <c r="AS16" s="347">
        <v>10</v>
      </c>
      <c r="AT16" s="348">
        <f>(M16*6/18)*AS16/100</f>
        <v>470</v>
      </c>
      <c r="AU16" s="307">
        <f t="shared" si="14"/>
        <v>470</v>
      </c>
      <c r="AV16" s="307">
        <f t="shared" si="15"/>
        <v>5170</v>
      </c>
      <c r="AW16" s="307"/>
      <c r="AX16" s="307"/>
      <c r="AY16" s="349">
        <v>7</v>
      </c>
      <c r="AZ16" s="350" t="s">
        <v>449</v>
      </c>
      <c r="BA16" s="350">
        <v>0.05</v>
      </c>
      <c r="BB16" s="357">
        <f>M16*BA16*BI16/18</f>
        <v>235</v>
      </c>
      <c r="BC16" s="316"/>
      <c r="BD16" s="307">
        <f t="shared" si="17"/>
        <v>235</v>
      </c>
      <c r="BE16" s="307">
        <f t="shared" si="18"/>
        <v>5405</v>
      </c>
      <c r="BF16" s="307">
        <f t="shared" si="19"/>
        <v>810.75</v>
      </c>
      <c r="BG16" s="87">
        <f t="shared" si="20"/>
        <v>6215.75</v>
      </c>
      <c r="BH16" s="358"/>
      <c r="BI16" s="358">
        <f t="shared" si="21"/>
        <v>6</v>
      </c>
      <c r="BJ16" s="359">
        <f t="shared" si="22"/>
        <v>0.33333333333333331</v>
      </c>
      <c r="BK16" s="367">
        <v>0.33</v>
      </c>
      <c r="BL16" s="174"/>
      <c r="BM16" s="174"/>
    </row>
    <row r="17" spans="1:65" s="162" customFormat="1" ht="15.75">
      <c r="A17" s="349">
        <v>8</v>
      </c>
      <c r="B17" s="350" t="s">
        <v>282</v>
      </c>
      <c r="C17" s="322" t="s">
        <v>445</v>
      </c>
      <c r="D17" s="351">
        <v>47</v>
      </c>
      <c r="E17" s="351" t="s">
        <v>332</v>
      </c>
      <c r="F17" s="352" t="s">
        <v>372</v>
      </c>
      <c r="G17" s="352">
        <v>11280</v>
      </c>
      <c r="H17" s="349">
        <v>8</v>
      </c>
      <c r="I17" s="350" t="s">
        <v>282</v>
      </c>
      <c r="J17" s="315"/>
      <c r="K17" s="315">
        <v>0.25</v>
      </c>
      <c r="L17" s="315"/>
      <c r="M17" s="307">
        <f t="shared" si="0"/>
        <v>14100</v>
      </c>
      <c r="N17" s="315"/>
      <c r="O17" s="164">
        <v>12</v>
      </c>
      <c r="P17" s="164">
        <v>6</v>
      </c>
      <c r="Q17" s="315">
        <v>1</v>
      </c>
      <c r="R17" s="315"/>
      <c r="S17" s="307">
        <f t="shared" si="6"/>
        <v>0</v>
      </c>
      <c r="T17" s="307">
        <f t="shared" si="7"/>
        <v>9400</v>
      </c>
      <c r="U17" s="307">
        <f t="shared" si="8"/>
        <v>4700</v>
      </c>
      <c r="V17" s="349">
        <v>8</v>
      </c>
      <c r="W17" s="350" t="s">
        <v>282</v>
      </c>
      <c r="X17" s="316">
        <f t="shared" si="23"/>
        <v>14100</v>
      </c>
      <c r="Y17" s="307">
        <f t="shared" si="24"/>
        <v>783.33333333333337</v>
      </c>
      <c r="Z17" s="307">
        <f t="shared" si="25"/>
        <v>0</v>
      </c>
      <c r="AA17" s="307">
        <f t="shared" si="26"/>
        <v>14883.333333333334</v>
      </c>
      <c r="AB17" s="347"/>
      <c r="AC17" s="348">
        <f t="shared" si="2"/>
        <v>0</v>
      </c>
      <c r="AD17" s="307">
        <v>18</v>
      </c>
      <c r="AE17" s="347">
        <v>6</v>
      </c>
      <c r="AF17" s="348">
        <f t="shared" si="3"/>
        <v>846</v>
      </c>
      <c r="AG17" s="348">
        <f t="shared" si="12"/>
        <v>705</v>
      </c>
      <c r="AH17" s="307"/>
      <c r="AI17" s="307"/>
      <c r="AJ17" s="348"/>
      <c r="AK17" s="349">
        <v>8</v>
      </c>
      <c r="AL17" s="350" t="s">
        <v>282</v>
      </c>
      <c r="AM17" s="361"/>
      <c r="AN17" s="355"/>
      <c r="AO17" s="362"/>
      <c r="AP17" s="356"/>
      <c r="AQ17" s="347"/>
      <c r="AR17" s="348">
        <f t="shared" si="13"/>
        <v>0</v>
      </c>
      <c r="AS17" s="347"/>
      <c r="AT17" s="348"/>
      <c r="AU17" s="307">
        <f t="shared" si="14"/>
        <v>1551</v>
      </c>
      <c r="AV17" s="307">
        <f t="shared" si="15"/>
        <v>16434.333333333336</v>
      </c>
      <c r="AW17" s="307">
        <v>10</v>
      </c>
      <c r="AX17" s="307">
        <f t="shared" si="5"/>
        <v>1643.4333333333336</v>
      </c>
      <c r="AY17" s="349">
        <v>8</v>
      </c>
      <c r="AZ17" s="350" t="s">
        <v>282</v>
      </c>
      <c r="BA17" s="363">
        <v>0.05</v>
      </c>
      <c r="BB17" s="357">
        <f>M17*BA17/18*BI17</f>
        <v>744.16666666666663</v>
      </c>
      <c r="BC17" s="316"/>
      <c r="BD17" s="307">
        <f t="shared" si="17"/>
        <v>2387.6000000000004</v>
      </c>
      <c r="BE17" s="307">
        <f t="shared" si="18"/>
        <v>18821.933333333334</v>
      </c>
      <c r="BF17" s="307">
        <f t="shared" si="19"/>
        <v>2823.29</v>
      </c>
      <c r="BG17" s="87">
        <f t="shared" si="20"/>
        <v>21645.223333333335</v>
      </c>
      <c r="BH17" s="358"/>
      <c r="BI17" s="358">
        <f t="shared" si="21"/>
        <v>19</v>
      </c>
      <c r="BJ17" s="359">
        <f t="shared" si="22"/>
        <v>1.0555555555555556</v>
      </c>
      <c r="BK17" s="360">
        <v>1</v>
      </c>
      <c r="BL17" s="174"/>
      <c r="BM17" s="174"/>
    </row>
    <row r="18" spans="1:65" s="162" customFormat="1" ht="15.75">
      <c r="A18" s="349">
        <v>9</v>
      </c>
      <c r="B18" s="350" t="s">
        <v>283</v>
      </c>
      <c r="C18" s="322" t="s">
        <v>445</v>
      </c>
      <c r="D18" s="351">
        <v>25</v>
      </c>
      <c r="E18" s="351"/>
      <c r="F18" s="352" t="s">
        <v>372</v>
      </c>
      <c r="G18" s="352">
        <v>11280</v>
      </c>
      <c r="H18" s="349">
        <v>9</v>
      </c>
      <c r="I18" s="350" t="s">
        <v>283</v>
      </c>
      <c r="J18" s="315"/>
      <c r="K18" s="315">
        <v>0.25</v>
      </c>
      <c r="L18" s="315"/>
      <c r="M18" s="307">
        <f t="shared" si="0"/>
        <v>14100</v>
      </c>
      <c r="N18" s="315"/>
      <c r="O18" s="164">
        <v>17</v>
      </c>
      <c r="P18" s="315"/>
      <c r="Q18" s="315">
        <v>1</v>
      </c>
      <c r="R18" s="315"/>
      <c r="S18" s="307">
        <f t="shared" si="6"/>
        <v>0</v>
      </c>
      <c r="T18" s="307">
        <f t="shared" si="7"/>
        <v>13316.666666666666</v>
      </c>
      <c r="U18" s="307">
        <f t="shared" si="8"/>
        <v>0</v>
      </c>
      <c r="V18" s="349">
        <v>9</v>
      </c>
      <c r="W18" s="350" t="s">
        <v>283</v>
      </c>
      <c r="X18" s="316">
        <f t="shared" si="23"/>
        <v>13316.666666666666</v>
      </c>
      <c r="Y18" s="307">
        <f t="shared" si="24"/>
        <v>783.33333333333337</v>
      </c>
      <c r="Z18" s="307">
        <f t="shared" si="25"/>
        <v>0</v>
      </c>
      <c r="AA18" s="307">
        <f t="shared" si="26"/>
        <v>14100</v>
      </c>
      <c r="AB18" s="347">
        <v>6.5</v>
      </c>
      <c r="AC18" s="348">
        <f t="shared" si="2"/>
        <v>916.5</v>
      </c>
      <c r="AD18" s="307">
        <v>17</v>
      </c>
      <c r="AE18" s="347">
        <v>6</v>
      </c>
      <c r="AF18" s="348">
        <f t="shared" si="3"/>
        <v>799</v>
      </c>
      <c r="AG18" s="348">
        <f t="shared" si="12"/>
        <v>705</v>
      </c>
      <c r="AH18" s="307"/>
      <c r="AI18" s="307"/>
      <c r="AJ18" s="348"/>
      <c r="AK18" s="349">
        <v>9</v>
      </c>
      <c r="AL18" s="350" t="s">
        <v>283</v>
      </c>
      <c r="AM18" s="361"/>
      <c r="AN18" s="355"/>
      <c r="AO18" s="362"/>
      <c r="AP18" s="356"/>
      <c r="AQ18" s="347">
        <v>5</v>
      </c>
      <c r="AR18" s="348">
        <f t="shared" si="13"/>
        <v>705</v>
      </c>
      <c r="AS18" s="347"/>
      <c r="AT18" s="356"/>
      <c r="AU18" s="307">
        <f t="shared" si="14"/>
        <v>3125.5</v>
      </c>
      <c r="AV18" s="307">
        <f t="shared" si="15"/>
        <v>17225.5</v>
      </c>
      <c r="AW18" s="307"/>
      <c r="AX18" s="307">
        <f t="shared" si="5"/>
        <v>0</v>
      </c>
      <c r="AY18" s="349">
        <v>9</v>
      </c>
      <c r="AZ18" s="350" t="s">
        <v>283</v>
      </c>
      <c r="BA18" s="363">
        <v>0.05</v>
      </c>
      <c r="BB18" s="357">
        <f t="shared" si="16"/>
        <v>705</v>
      </c>
      <c r="BC18" s="316"/>
      <c r="BD18" s="307">
        <f t="shared" si="17"/>
        <v>705</v>
      </c>
      <c r="BE18" s="307">
        <f t="shared" si="18"/>
        <v>17930.5</v>
      </c>
      <c r="BF18" s="307">
        <f t="shared" si="19"/>
        <v>2689.5749999999998</v>
      </c>
      <c r="BG18" s="87">
        <f t="shared" si="20"/>
        <v>20620.075000000001</v>
      </c>
      <c r="BH18" s="358"/>
      <c r="BI18" s="358">
        <f t="shared" si="21"/>
        <v>18</v>
      </c>
      <c r="BJ18" s="359">
        <f t="shared" si="22"/>
        <v>1</v>
      </c>
      <c r="BK18" s="360">
        <f t="shared" ref="BK18:BK31" si="27">BJ18</f>
        <v>1</v>
      </c>
      <c r="BL18" s="174"/>
      <c r="BM18" s="174"/>
    </row>
    <row r="19" spans="1:65" s="162" customFormat="1" ht="15.75">
      <c r="A19" s="349">
        <v>10</v>
      </c>
      <c r="B19" s="350" t="s">
        <v>284</v>
      </c>
      <c r="C19" s="322" t="s">
        <v>445</v>
      </c>
      <c r="D19" s="351">
        <v>33</v>
      </c>
      <c r="E19" s="351"/>
      <c r="F19" s="352" t="s">
        <v>372</v>
      </c>
      <c r="G19" s="352">
        <v>11280</v>
      </c>
      <c r="H19" s="349">
        <v>10</v>
      </c>
      <c r="I19" s="350" t="s">
        <v>284</v>
      </c>
      <c r="J19" s="315"/>
      <c r="K19" s="315">
        <v>0.25</v>
      </c>
      <c r="L19" s="315"/>
      <c r="M19" s="307">
        <f t="shared" si="0"/>
        <v>14100</v>
      </c>
      <c r="N19" s="315"/>
      <c r="O19" s="164">
        <v>11</v>
      </c>
      <c r="P19" s="164">
        <v>6</v>
      </c>
      <c r="Q19" s="315">
        <v>1</v>
      </c>
      <c r="R19" s="315"/>
      <c r="S19" s="307">
        <f t="shared" si="6"/>
        <v>0</v>
      </c>
      <c r="T19" s="307">
        <f t="shared" si="7"/>
        <v>8616.6666666666661</v>
      </c>
      <c r="U19" s="307">
        <f t="shared" si="8"/>
        <v>4700</v>
      </c>
      <c r="V19" s="349">
        <v>10</v>
      </c>
      <c r="W19" s="350" t="s">
        <v>284</v>
      </c>
      <c r="X19" s="316">
        <f t="shared" si="23"/>
        <v>13316.666666666666</v>
      </c>
      <c r="Y19" s="307">
        <f t="shared" si="24"/>
        <v>783.33333333333337</v>
      </c>
      <c r="Z19" s="307">
        <f t="shared" si="25"/>
        <v>0</v>
      </c>
      <c r="AA19" s="307">
        <f t="shared" si="26"/>
        <v>14100</v>
      </c>
      <c r="AB19" s="347"/>
      <c r="AC19" s="348">
        <f t="shared" si="2"/>
        <v>0</v>
      </c>
      <c r="AD19" s="307">
        <v>17</v>
      </c>
      <c r="AE19" s="347">
        <v>6</v>
      </c>
      <c r="AF19" s="348">
        <f t="shared" si="3"/>
        <v>799</v>
      </c>
      <c r="AG19" s="348">
        <f t="shared" si="12"/>
        <v>705</v>
      </c>
      <c r="AH19" s="307"/>
      <c r="AI19" s="307"/>
      <c r="AJ19" s="348"/>
      <c r="AK19" s="349">
        <v>10</v>
      </c>
      <c r="AL19" s="350" t="s">
        <v>284</v>
      </c>
      <c r="AM19" s="361"/>
      <c r="AN19" s="355"/>
      <c r="AO19" s="362"/>
      <c r="AP19" s="356"/>
      <c r="AQ19" s="347"/>
      <c r="AR19" s="348">
        <f t="shared" si="13"/>
        <v>0</v>
      </c>
      <c r="AS19" s="347"/>
      <c r="AT19" s="356"/>
      <c r="AU19" s="307">
        <f t="shared" si="14"/>
        <v>1504</v>
      </c>
      <c r="AV19" s="307">
        <f t="shared" si="15"/>
        <v>15604</v>
      </c>
      <c r="AW19" s="307"/>
      <c r="AX19" s="307">
        <f t="shared" si="5"/>
        <v>0</v>
      </c>
      <c r="AY19" s="349">
        <v>10</v>
      </c>
      <c r="AZ19" s="350" t="s">
        <v>284</v>
      </c>
      <c r="BA19" s="363">
        <v>0.05</v>
      </c>
      <c r="BB19" s="357">
        <f t="shared" si="16"/>
        <v>705</v>
      </c>
      <c r="BC19" s="316"/>
      <c r="BD19" s="307">
        <f t="shared" si="17"/>
        <v>705</v>
      </c>
      <c r="BE19" s="307">
        <f t="shared" si="18"/>
        <v>16309</v>
      </c>
      <c r="BF19" s="307">
        <f t="shared" si="19"/>
        <v>2446.35</v>
      </c>
      <c r="BG19" s="87">
        <f t="shared" si="20"/>
        <v>18755.349999999999</v>
      </c>
      <c r="BH19" s="358"/>
      <c r="BI19" s="358">
        <f t="shared" si="21"/>
        <v>18</v>
      </c>
      <c r="BJ19" s="359">
        <f t="shared" si="22"/>
        <v>1</v>
      </c>
      <c r="BK19" s="360">
        <v>1</v>
      </c>
      <c r="BL19" s="174"/>
      <c r="BM19" s="174"/>
    </row>
    <row r="20" spans="1:65" s="162" customFormat="1" ht="15.75">
      <c r="A20" s="349">
        <v>11</v>
      </c>
      <c r="B20" s="350" t="s">
        <v>289</v>
      </c>
      <c r="C20" s="322" t="s">
        <v>288</v>
      </c>
      <c r="D20" s="351">
        <v>6</v>
      </c>
      <c r="E20" s="351"/>
      <c r="F20" s="352" t="s">
        <v>372</v>
      </c>
      <c r="G20" s="352">
        <v>11280</v>
      </c>
      <c r="H20" s="349">
        <v>11</v>
      </c>
      <c r="I20" s="350" t="s">
        <v>289</v>
      </c>
      <c r="J20" s="315"/>
      <c r="K20" s="315">
        <v>0.25</v>
      </c>
      <c r="L20" s="315"/>
      <c r="M20" s="307">
        <f t="shared" si="0"/>
        <v>14100</v>
      </c>
      <c r="N20" s="164">
        <v>6</v>
      </c>
      <c r="O20" s="164">
        <v>6</v>
      </c>
      <c r="P20" s="164">
        <v>6</v>
      </c>
      <c r="Q20" s="315">
        <v>1</v>
      </c>
      <c r="R20" s="315"/>
      <c r="S20" s="307">
        <f t="shared" si="6"/>
        <v>4700</v>
      </c>
      <c r="T20" s="307">
        <f t="shared" si="7"/>
        <v>4700</v>
      </c>
      <c r="U20" s="307">
        <f t="shared" si="8"/>
        <v>4700</v>
      </c>
      <c r="V20" s="349">
        <v>11</v>
      </c>
      <c r="W20" s="350" t="s">
        <v>289</v>
      </c>
      <c r="X20" s="316">
        <f t="shared" si="23"/>
        <v>14100</v>
      </c>
      <c r="Y20" s="307">
        <f t="shared" si="24"/>
        <v>783.33333333333337</v>
      </c>
      <c r="Z20" s="307">
        <f t="shared" si="25"/>
        <v>0</v>
      </c>
      <c r="AA20" s="307">
        <f t="shared" si="26"/>
        <v>14883.333333333334</v>
      </c>
      <c r="AB20" s="347">
        <v>13</v>
      </c>
      <c r="AC20" s="348">
        <f t="shared" si="2"/>
        <v>1833</v>
      </c>
      <c r="AD20" s="307">
        <v>18</v>
      </c>
      <c r="AE20" s="347">
        <v>6</v>
      </c>
      <c r="AF20" s="348">
        <f t="shared" si="3"/>
        <v>846</v>
      </c>
      <c r="AG20" s="348"/>
      <c r="AH20" s="307"/>
      <c r="AI20" s="315"/>
      <c r="AJ20" s="348"/>
      <c r="AK20" s="349">
        <v>11</v>
      </c>
      <c r="AL20" s="350" t="s">
        <v>289</v>
      </c>
      <c r="AM20" s="365"/>
      <c r="AN20" s="355"/>
      <c r="AO20" s="356"/>
      <c r="AP20" s="356"/>
      <c r="AQ20" s="347"/>
      <c r="AR20" s="348">
        <f t="shared" si="13"/>
        <v>0</v>
      </c>
      <c r="AS20" s="307"/>
      <c r="AT20" s="348">
        <f t="shared" ref="AT20:AT38" si="28">(M20*AD20/18)*AS20/100</f>
        <v>0</v>
      </c>
      <c r="AU20" s="307">
        <f t="shared" si="14"/>
        <v>2679</v>
      </c>
      <c r="AV20" s="307">
        <f t="shared" si="15"/>
        <v>17562.333333333336</v>
      </c>
      <c r="AW20" s="307"/>
      <c r="AX20" s="307">
        <f t="shared" si="5"/>
        <v>0</v>
      </c>
      <c r="AY20" s="349">
        <v>11</v>
      </c>
      <c r="AZ20" s="350" t="s">
        <v>289</v>
      </c>
      <c r="BA20" s="350">
        <v>0.03</v>
      </c>
      <c r="BB20" s="357">
        <f t="shared" si="16"/>
        <v>423</v>
      </c>
      <c r="BC20" s="316"/>
      <c r="BD20" s="307">
        <f t="shared" si="17"/>
        <v>423</v>
      </c>
      <c r="BE20" s="307">
        <f t="shared" si="18"/>
        <v>17985.333333333336</v>
      </c>
      <c r="BF20" s="307">
        <f t="shared" si="19"/>
        <v>2697.8</v>
      </c>
      <c r="BG20" s="87">
        <f t="shared" si="20"/>
        <v>20683.133333333335</v>
      </c>
      <c r="BH20" s="358"/>
      <c r="BI20" s="358">
        <f t="shared" si="21"/>
        <v>19</v>
      </c>
      <c r="BJ20" s="359">
        <f t="shared" si="22"/>
        <v>1.0555555555555556</v>
      </c>
      <c r="BK20" s="360">
        <v>1</v>
      </c>
      <c r="BL20" s="174"/>
      <c r="BM20" s="174"/>
    </row>
    <row r="21" spans="1:65" s="162" customFormat="1" ht="15.75">
      <c r="A21" s="349">
        <v>12</v>
      </c>
      <c r="B21" s="350" t="s">
        <v>291</v>
      </c>
      <c r="C21" s="322" t="s">
        <v>288</v>
      </c>
      <c r="D21" s="351">
        <v>10</v>
      </c>
      <c r="E21" s="351"/>
      <c r="F21" s="352" t="s">
        <v>372</v>
      </c>
      <c r="G21" s="352">
        <v>11280</v>
      </c>
      <c r="H21" s="349">
        <v>12</v>
      </c>
      <c r="I21" s="350" t="s">
        <v>291</v>
      </c>
      <c r="J21" s="315"/>
      <c r="K21" s="315">
        <v>0.25</v>
      </c>
      <c r="L21" s="315"/>
      <c r="M21" s="307">
        <f t="shared" si="0"/>
        <v>14100</v>
      </c>
      <c r="N21" s="164">
        <v>2</v>
      </c>
      <c r="O21" s="164">
        <v>15</v>
      </c>
      <c r="P21" s="315"/>
      <c r="Q21" s="315"/>
      <c r="R21" s="315"/>
      <c r="S21" s="307">
        <f t="shared" si="6"/>
        <v>1566.6666666666667</v>
      </c>
      <c r="T21" s="307">
        <f t="shared" si="7"/>
        <v>11750</v>
      </c>
      <c r="U21" s="307">
        <f t="shared" si="8"/>
        <v>0</v>
      </c>
      <c r="V21" s="349">
        <v>12</v>
      </c>
      <c r="W21" s="350" t="s">
        <v>291</v>
      </c>
      <c r="X21" s="316">
        <f t="shared" si="23"/>
        <v>13316.666666666666</v>
      </c>
      <c r="Y21" s="307">
        <f t="shared" si="24"/>
        <v>0</v>
      </c>
      <c r="Z21" s="307">
        <f t="shared" si="25"/>
        <v>0</v>
      </c>
      <c r="AA21" s="307">
        <f t="shared" si="26"/>
        <v>13316.666666666666</v>
      </c>
      <c r="AB21" s="347">
        <v>6.5</v>
      </c>
      <c r="AC21" s="348">
        <f t="shared" si="2"/>
        <v>916.5</v>
      </c>
      <c r="AD21" s="307">
        <v>17</v>
      </c>
      <c r="AE21" s="347">
        <v>6</v>
      </c>
      <c r="AF21" s="348">
        <f t="shared" si="3"/>
        <v>799</v>
      </c>
      <c r="AG21" s="348">
        <f t="shared" si="12"/>
        <v>705</v>
      </c>
      <c r="AH21" s="307"/>
      <c r="AI21" s="315"/>
      <c r="AJ21" s="348"/>
      <c r="AK21" s="349">
        <v>12</v>
      </c>
      <c r="AL21" s="350" t="s">
        <v>291</v>
      </c>
      <c r="AM21" s="365"/>
      <c r="AN21" s="355"/>
      <c r="AO21" s="356"/>
      <c r="AP21" s="356"/>
      <c r="AQ21" s="347"/>
      <c r="AR21" s="348">
        <f t="shared" si="13"/>
        <v>0</v>
      </c>
      <c r="AS21" s="307"/>
      <c r="AT21" s="348">
        <f t="shared" si="28"/>
        <v>0</v>
      </c>
      <c r="AU21" s="307">
        <f t="shared" si="14"/>
        <v>2420.5</v>
      </c>
      <c r="AV21" s="307">
        <f t="shared" si="15"/>
        <v>15737.166666666666</v>
      </c>
      <c r="AW21" s="307"/>
      <c r="AX21" s="307">
        <f t="shared" si="5"/>
        <v>0</v>
      </c>
      <c r="AY21" s="349">
        <v>12</v>
      </c>
      <c r="AZ21" s="350" t="s">
        <v>291</v>
      </c>
      <c r="BA21" s="350">
        <v>0.04</v>
      </c>
      <c r="BB21" s="357">
        <f>M21*BA21*BI21/18</f>
        <v>532.66666666666663</v>
      </c>
      <c r="BC21" s="316"/>
      <c r="BD21" s="307">
        <f t="shared" si="17"/>
        <v>532.66666666666663</v>
      </c>
      <c r="BE21" s="307">
        <f t="shared" si="18"/>
        <v>16269.833333333332</v>
      </c>
      <c r="BF21" s="307">
        <f t="shared" si="19"/>
        <v>2440.4749999999999</v>
      </c>
      <c r="BG21" s="87">
        <f t="shared" si="20"/>
        <v>18710.308333333331</v>
      </c>
      <c r="BH21" s="358"/>
      <c r="BI21" s="358">
        <f t="shared" si="21"/>
        <v>17</v>
      </c>
      <c r="BJ21" s="359">
        <f t="shared" si="22"/>
        <v>0.94444444444444442</v>
      </c>
      <c r="BK21" s="360">
        <v>0.94</v>
      </c>
      <c r="BL21" s="174"/>
      <c r="BM21" s="174"/>
    </row>
    <row r="22" spans="1:65" s="162" customFormat="1" ht="15.75">
      <c r="A22" s="349">
        <v>13</v>
      </c>
      <c r="B22" s="350" t="s">
        <v>450</v>
      </c>
      <c r="C22" s="322" t="s">
        <v>288</v>
      </c>
      <c r="D22" s="351">
        <v>14</v>
      </c>
      <c r="E22" s="351"/>
      <c r="F22" s="352" t="s">
        <v>372</v>
      </c>
      <c r="G22" s="352">
        <v>11280</v>
      </c>
      <c r="H22" s="349">
        <v>13</v>
      </c>
      <c r="I22" s="350" t="s">
        <v>450</v>
      </c>
      <c r="J22" s="315"/>
      <c r="K22" s="315">
        <v>0.25</v>
      </c>
      <c r="L22" s="315"/>
      <c r="M22" s="307">
        <f t="shared" si="0"/>
        <v>14100</v>
      </c>
      <c r="N22" s="164">
        <v>4</v>
      </c>
      <c r="O22" s="164">
        <v>6</v>
      </c>
      <c r="P22" s="315"/>
      <c r="Q22" s="315"/>
      <c r="R22" s="315"/>
      <c r="S22" s="307">
        <f t="shared" ref="S22" si="29">M22*N22/18</f>
        <v>3133.3333333333335</v>
      </c>
      <c r="T22" s="307">
        <f t="shared" ref="T22" si="30">M22*O22/18</f>
        <v>4700</v>
      </c>
      <c r="U22" s="307">
        <f t="shared" ref="U22" si="31">M22*P22/18</f>
        <v>0</v>
      </c>
      <c r="V22" s="349">
        <v>13</v>
      </c>
      <c r="W22" s="350" t="s">
        <v>450</v>
      </c>
      <c r="X22" s="316">
        <f t="shared" si="23"/>
        <v>7833.3333333333339</v>
      </c>
      <c r="Y22" s="307">
        <f t="shared" si="24"/>
        <v>0</v>
      </c>
      <c r="Z22" s="307">
        <f t="shared" si="25"/>
        <v>0</v>
      </c>
      <c r="AA22" s="307">
        <f t="shared" si="26"/>
        <v>7833.3333333333339</v>
      </c>
      <c r="AB22" s="347"/>
      <c r="AC22" s="348">
        <f t="shared" si="2"/>
        <v>0</v>
      </c>
      <c r="AD22" s="307">
        <v>10</v>
      </c>
      <c r="AE22" s="347"/>
      <c r="AF22" s="348"/>
      <c r="AG22" s="348">
        <f t="shared" si="12"/>
        <v>705</v>
      </c>
      <c r="AH22" s="307"/>
      <c r="AI22" s="315"/>
      <c r="AJ22" s="348"/>
      <c r="AK22" s="349">
        <v>13</v>
      </c>
      <c r="AL22" s="350" t="s">
        <v>450</v>
      </c>
      <c r="AM22" s="365"/>
      <c r="AN22" s="355"/>
      <c r="AO22" s="356"/>
      <c r="AP22" s="356"/>
      <c r="AQ22" s="347"/>
      <c r="AR22" s="348">
        <f t="shared" si="13"/>
        <v>0</v>
      </c>
      <c r="AS22" s="307"/>
      <c r="AT22" s="348"/>
      <c r="AU22" s="307">
        <f t="shared" si="14"/>
        <v>705</v>
      </c>
      <c r="AV22" s="307">
        <f t="shared" si="15"/>
        <v>8538.3333333333339</v>
      </c>
      <c r="AW22" s="307"/>
      <c r="AX22" s="307"/>
      <c r="AY22" s="349">
        <v>13</v>
      </c>
      <c r="AZ22" s="350" t="s">
        <v>450</v>
      </c>
      <c r="BA22" s="350">
        <v>0.04</v>
      </c>
      <c r="BB22" s="357">
        <f t="shared" si="16"/>
        <v>564</v>
      </c>
      <c r="BC22" s="316"/>
      <c r="BD22" s="307">
        <f t="shared" si="17"/>
        <v>564</v>
      </c>
      <c r="BE22" s="307">
        <f t="shared" si="18"/>
        <v>9102.3333333333339</v>
      </c>
      <c r="BF22" s="307">
        <f t="shared" si="19"/>
        <v>1365.3500000000001</v>
      </c>
      <c r="BG22" s="87">
        <f t="shared" si="20"/>
        <v>10467.683333333334</v>
      </c>
      <c r="BH22" s="358"/>
      <c r="BI22" s="358">
        <f t="shared" si="21"/>
        <v>10</v>
      </c>
      <c r="BJ22" s="359">
        <f t="shared" si="22"/>
        <v>0.55555555555555558</v>
      </c>
      <c r="BK22" s="360">
        <v>0.56000000000000005</v>
      </c>
      <c r="BL22" s="174"/>
      <c r="BM22" s="174"/>
    </row>
    <row r="23" spans="1:65" ht="15.75">
      <c r="A23" s="349">
        <v>14</v>
      </c>
      <c r="B23" s="350" t="s">
        <v>290</v>
      </c>
      <c r="C23" s="322" t="s">
        <v>288</v>
      </c>
      <c r="D23" s="351">
        <v>9</v>
      </c>
      <c r="E23" s="351"/>
      <c r="F23" s="352" t="s">
        <v>372</v>
      </c>
      <c r="G23" s="352">
        <v>11280</v>
      </c>
      <c r="H23" s="349">
        <v>14</v>
      </c>
      <c r="I23" s="350" t="s">
        <v>290</v>
      </c>
      <c r="J23" s="315"/>
      <c r="K23" s="315">
        <v>0.25</v>
      </c>
      <c r="L23" s="315"/>
      <c r="M23" s="307">
        <f t="shared" si="0"/>
        <v>14100</v>
      </c>
      <c r="N23" s="315"/>
      <c r="O23" s="164">
        <v>3</v>
      </c>
      <c r="P23" s="315"/>
      <c r="Q23" s="315"/>
      <c r="R23" s="315"/>
      <c r="S23" s="307">
        <f t="shared" ref="S23" si="32">M23*N23/18</f>
        <v>0</v>
      </c>
      <c r="T23" s="307">
        <f t="shared" ref="T23" si="33">M23*O23/18</f>
        <v>2350</v>
      </c>
      <c r="U23" s="307">
        <f t="shared" si="8"/>
        <v>0</v>
      </c>
      <c r="V23" s="349">
        <v>14</v>
      </c>
      <c r="W23" s="350" t="s">
        <v>290</v>
      </c>
      <c r="X23" s="316">
        <f t="shared" si="23"/>
        <v>2350</v>
      </c>
      <c r="Y23" s="307">
        <f t="shared" si="24"/>
        <v>0</v>
      </c>
      <c r="Z23" s="307">
        <f t="shared" si="25"/>
        <v>0</v>
      </c>
      <c r="AA23" s="307">
        <f t="shared" si="26"/>
        <v>2350</v>
      </c>
      <c r="AB23" s="347"/>
      <c r="AC23" s="348">
        <f t="shared" si="2"/>
        <v>0</v>
      </c>
      <c r="AD23" s="307">
        <v>3</v>
      </c>
      <c r="AE23" s="347">
        <v>6</v>
      </c>
      <c r="AF23" s="348">
        <f t="shared" ref="AF23" si="34">(M23*AD23/18)*AE23/100</f>
        <v>141</v>
      </c>
      <c r="AG23" s="348"/>
      <c r="AH23" s="307"/>
      <c r="AI23" s="315"/>
      <c r="AJ23" s="348"/>
      <c r="AK23" s="349">
        <v>14</v>
      </c>
      <c r="AL23" s="350" t="s">
        <v>290</v>
      </c>
      <c r="AM23" s="365"/>
      <c r="AN23" s="355"/>
      <c r="AO23" s="356"/>
      <c r="AP23" s="356"/>
      <c r="AQ23" s="347"/>
      <c r="AR23" s="348">
        <f t="shared" si="13"/>
        <v>0</v>
      </c>
      <c r="AS23" s="307"/>
      <c r="AT23" s="348">
        <f t="shared" ref="AT23" si="35">(M23*AD23/18)*AS23/100</f>
        <v>0</v>
      </c>
      <c r="AU23" s="307">
        <f t="shared" si="14"/>
        <v>141</v>
      </c>
      <c r="AV23" s="307">
        <f t="shared" si="15"/>
        <v>2491</v>
      </c>
      <c r="AW23" s="307"/>
      <c r="AX23" s="307">
        <f t="shared" ref="AX23" si="36">AV23*AW23/100</f>
        <v>0</v>
      </c>
      <c r="AY23" s="349">
        <v>14</v>
      </c>
      <c r="AZ23" s="350" t="s">
        <v>290</v>
      </c>
      <c r="BA23" s="350">
        <v>0.03</v>
      </c>
      <c r="BB23" s="357">
        <f t="shared" ref="BB23:BB32" si="37">M23*BA23*BI23/18</f>
        <v>70.5</v>
      </c>
      <c r="BC23" s="316"/>
      <c r="BD23" s="307">
        <f t="shared" si="17"/>
        <v>70.5</v>
      </c>
      <c r="BE23" s="307">
        <f t="shared" si="18"/>
        <v>2561.5</v>
      </c>
      <c r="BF23" s="307">
        <f t="shared" si="19"/>
        <v>384.22499999999997</v>
      </c>
      <c r="BG23" s="87">
        <f t="shared" si="20"/>
        <v>2945.7249999999999</v>
      </c>
      <c r="BH23" s="358"/>
      <c r="BI23" s="358">
        <f t="shared" si="21"/>
        <v>3</v>
      </c>
      <c r="BJ23" s="359">
        <f t="shared" si="22"/>
        <v>0.16666666666666666</v>
      </c>
      <c r="BK23" s="367">
        <f t="shared" ref="BK23" si="38">BJ23</f>
        <v>0.16666666666666666</v>
      </c>
      <c r="BL23" s="174"/>
      <c r="BM23" s="174"/>
    </row>
    <row r="24" spans="1:65" s="162" customFormat="1" ht="15.75">
      <c r="A24" s="349">
        <v>15</v>
      </c>
      <c r="B24" s="350" t="s">
        <v>295</v>
      </c>
      <c r="C24" s="322" t="s">
        <v>294</v>
      </c>
      <c r="D24" s="351">
        <v>16</v>
      </c>
      <c r="E24" s="351"/>
      <c r="F24" s="352" t="s">
        <v>372</v>
      </c>
      <c r="G24" s="352">
        <v>11280</v>
      </c>
      <c r="H24" s="349">
        <v>15</v>
      </c>
      <c r="I24" s="350" t="s">
        <v>295</v>
      </c>
      <c r="J24" s="315"/>
      <c r="K24" s="315">
        <v>0.25</v>
      </c>
      <c r="L24" s="315"/>
      <c r="M24" s="307">
        <f t="shared" si="0"/>
        <v>14100</v>
      </c>
      <c r="N24" s="315"/>
      <c r="O24" s="164">
        <v>4</v>
      </c>
      <c r="P24" s="164">
        <v>2</v>
      </c>
      <c r="Q24" s="315">
        <v>1</v>
      </c>
      <c r="R24" s="315"/>
      <c r="S24" s="307">
        <f t="shared" si="6"/>
        <v>0</v>
      </c>
      <c r="T24" s="307">
        <f t="shared" si="7"/>
        <v>3133.3333333333335</v>
      </c>
      <c r="U24" s="307">
        <f t="shared" si="8"/>
        <v>1566.6666666666667</v>
      </c>
      <c r="V24" s="349">
        <v>15</v>
      </c>
      <c r="W24" s="350" t="s">
        <v>295</v>
      </c>
      <c r="X24" s="316">
        <f t="shared" si="23"/>
        <v>4700</v>
      </c>
      <c r="Y24" s="307">
        <f t="shared" si="24"/>
        <v>783.33333333333337</v>
      </c>
      <c r="Z24" s="307">
        <f t="shared" si="25"/>
        <v>0</v>
      </c>
      <c r="AA24" s="307">
        <f t="shared" si="26"/>
        <v>5483.333333333333</v>
      </c>
      <c r="AB24" s="347">
        <v>13</v>
      </c>
      <c r="AC24" s="348">
        <f t="shared" si="2"/>
        <v>1833</v>
      </c>
      <c r="AD24" s="307"/>
      <c r="AE24" s="347"/>
      <c r="AF24" s="348">
        <f t="shared" si="3"/>
        <v>0</v>
      </c>
      <c r="AG24" s="348">
        <f t="shared" si="12"/>
        <v>705</v>
      </c>
      <c r="AH24" s="307"/>
      <c r="AI24" s="315"/>
      <c r="AJ24" s="348"/>
      <c r="AK24" s="349">
        <v>15</v>
      </c>
      <c r="AL24" s="350" t="s">
        <v>295</v>
      </c>
      <c r="AM24" s="365">
        <v>15</v>
      </c>
      <c r="AN24" s="355">
        <f>M24*AM24*2/100</f>
        <v>4230</v>
      </c>
      <c r="AO24" s="356"/>
      <c r="AP24" s="356"/>
      <c r="AQ24" s="347"/>
      <c r="AR24" s="348">
        <f t="shared" si="13"/>
        <v>0</v>
      </c>
      <c r="AS24" s="307"/>
      <c r="AT24" s="348">
        <f t="shared" si="28"/>
        <v>0</v>
      </c>
      <c r="AU24" s="307">
        <f t="shared" si="14"/>
        <v>6768</v>
      </c>
      <c r="AV24" s="307">
        <f t="shared" si="15"/>
        <v>12251.333333333332</v>
      </c>
      <c r="AW24" s="307"/>
      <c r="AX24" s="307">
        <f t="shared" si="5"/>
        <v>0</v>
      </c>
      <c r="AY24" s="349">
        <v>15</v>
      </c>
      <c r="AZ24" s="350" t="s">
        <v>295</v>
      </c>
      <c r="BA24" s="350">
        <v>0.05</v>
      </c>
      <c r="BB24" s="357">
        <f t="shared" si="37"/>
        <v>274.16666666666669</v>
      </c>
      <c r="BC24" s="316"/>
      <c r="BD24" s="307">
        <f t="shared" si="17"/>
        <v>274.16666666666669</v>
      </c>
      <c r="BE24" s="307">
        <f t="shared" si="18"/>
        <v>12525.499999999998</v>
      </c>
      <c r="BF24" s="307">
        <f t="shared" si="19"/>
        <v>1878.8249999999996</v>
      </c>
      <c r="BG24" s="87">
        <f t="shared" si="20"/>
        <v>14404.324999999997</v>
      </c>
      <c r="BH24" s="358"/>
      <c r="BI24" s="358">
        <f t="shared" si="21"/>
        <v>7</v>
      </c>
      <c r="BJ24" s="359">
        <f t="shared" si="22"/>
        <v>0.3888888888888889</v>
      </c>
      <c r="BK24" s="360">
        <f t="shared" si="27"/>
        <v>0.3888888888888889</v>
      </c>
      <c r="BL24" s="174"/>
      <c r="BM24" s="174"/>
    </row>
    <row r="25" spans="1:65" s="166" customFormat="1" ht="15.75">
      <c r="A25" s="349">
        <v>16</v>
      </c>
      <c r="B25" s="350" t="s">
        <v>306</v>
      </c>
      <c r="C25" s="322" t="s">
        <v>293</v>
      </c>
      <c r="D25" s="351">
        <v>47</v>
      </c>
      <c r="E25" s="351" t="s">
        <v>408</v>
      </c>
      <c r="F25" s="352" t="s">
        <v>439</v>
      </c>
      <c r="G25" s="352">
        <v>13094</v>
      </c>
      <c r="H25" s="349">
        <v>16</v>
      </c>
      <c r="I25" s="350" t="s">
        <v>306</v>
      </c>
      <c r="J25" s="315">
        <v>0.08</v>
      </c>
      <c r="K25" s="315">
        <v>0.25</v>
      </c>
      <c r="L25" s="315"/>
      <c r="M25" s="307">
        <f t="shared" si="0"/>
        <v>17676.900000000001</v>
      </c>
      <c r="N25" s="315"/>
      <c r="O25" s="164">
        <v>3</v>
      </c>
      <c r="P25" s="164">
        <v>1</v>
      </c>
      <c r="Q25" s="315">
        <v>1</v>
      </c>
      <c r="R25" s="315"/>
      <c r="S25" s="307">
        <f t="shared" si="6"/>
        <v>0</v>
      </c>
      <c r="T25" s="307">
        <f t="shared" si="7"/>
        <v>2946.15</v>
      </c>
      <c r="U25" s="307">
        <f t="shared" si="8"/>
        <v>982.05000000000007</v>
      </c>
      <c r="V25" s="349">
        <v>16</v>
      </c>
      <c r="W25" s="350" t="s">
        <v>306</v>
      </c>
      <c r="X25" s="316">
        <f t="shared" si="23"/>
        <v>3928.2000000000003</v>
      </c>
      <c r="Y25" s="307">
        <f t="shared" si="24"/>
        <v>982.05000000000007</v>
      </c>
      <c r="Z25" s="307">
        <f t="shared" si="25"/>
        <v>0</v>
      </c>
      <c r="AA25" s="307">
        <f t="shared" si="26"/>
        <v>4910.25</v>
      </c>
      <c r="AB25" s="347"/>
      <c r="AC25" s="348">
        <f t="shared" si="2"/>
        <v>0</v>
      </c>
      <c r="AD25" s="307">
        <v>4</v>
      </c>
      <c r="AE25" s="347">
        <v>3</v>
      </c>
      <c r="AF25" s="348">
        <f t="shared" si="3"/>
        <v>117.846</v>
      </c>
      <c r="AG25" s="348"/>
      <c r="AH25" s="307"/>
      <c r="AI25" s="315"/>
      <c r="AJ25" s="348"/>
      <c r="AK25" s="349">
        <v>16</v>
      </c>
      <c r="AL25" s="350" t="s">
        <v>306</v>
      </c>
      <c r="AM25" s="365"/>
      <c r="AN25" s="355"/>
      <c r="AO25" s="356"/>
      <c r="AP25" s="356"/>
      <c r="AQ25" s="347"/>
      <c r="AR25" s="348">
        <f t="shared" si="13"/>
        <v>0</v>
      </c>
      <c r="AS25" s="307"/>
      <c r="AT25" s="348">
        <f t="shared" si="28"/>
        <v>0</v>
      </c>
      <c r="AU25" s="307">
        <f t="shared" si="14"/>
        <v>117.846</v>
      </c>
      <c r="AV25" s="307">
        <f t="shared" si="15"/>
        <v>5028.0959999999995</v>
      </c>
      <c r="AW25" s="307">
        <v>10</v>
      </c>
      <c r="AX25" s="307">
        <f t="shared" si="5"/>
        <v>502.80959999999993</v>
      </c>
      <c r="AY25" s="349">
        <v>16</v>
      </c>
      <c r="AZ25" s="350" t="s">
        <v>306</v>
      </c>
      <c r="BA25" s="350">
        <v>0.05</v>
      </c>
      <c r="BB25" s="357">
        <f t="shared" si="37"/>
        <v>245.51250000000002</v>
      </c>
      <c r="BC25" s="316"/>
      <c r="BD25" s="307">
        <f t="shared" si="17"/>
        <v>748.32209999999998</v>
      </c>
      <c r="BE25" s="307">
        <f t="shared" si="18"/>
        <v>5776.4180999999999</v>
      </c>
      <c r="BF25" s="307">
        <f t="shared" si="19"/>
        <v>866.462715</v>
      </c>
      <c r="BG25" s="87">
        <f t="shared" si="20"/>
        <v>6642.8808149999995</v>
      </c>
      <c r="BH25" s="358"/>
      <c r="BI25" s="358">
        <f t="shared" si="21"/>
        <v>5</v>
      </c>
      <c r="BJ25" s="359">
        <f t="shared" si="22"/>
        <v>0.27777777777777779</v>
      </c>
      <c r="BK25" s="360">
        <f t="shared" si="27"/>
        <v>0.27777777777777779</v>
      </c>
      <c r="BL25" s="245"/>
      <c r="BM25" s="245"/>
    </row>
    <row r="26" spans="1:65" s="162" customFormat="1" ht="15.75">
      <c r="A26" s="349">
        <v>17</v>
      </c>
      <c r="B26" s="322" t="s">
        <v>292</v>
      </c>
      <c r="C26" s="322" t="s">
        <v>293</v>
      </c>
      <c r="D26" s="352">
        <v>24</v>
      </c>
      <c r="E26" s="352"/>
      <c r="F26" s="352" t="s">
        <v>372</v>
      </c>
      <c r="G26" s="352">
        <v>11280</v>
      </c>
      <c r="H26" s="349">
        <v>17</v>
      </c>
      <c r="I26" s="322" t="s">
        <v>292</v>
      </c>
      <c r="J26" s="315"/>
      <c r="K26" s="315">
        <v>0.25</v>
      </c>
      <c r="L26" s="315"/>
      <c r="M26" s="307">
        <f t="shared" si="0"/>
        <v>14100</v>
      </c>
      <c r="N26" s="315"/>
      <c r="O26" s="164">
        <v>6</v>
      </c>
      <c r="P26" s="164">
        <v>6</v>
      </c>
      <c r="Q26" s="315"/>
      <c r="R26" s="315"/>
      <c r="S26" s="307">
        <f t="shared" si="6"/>
        <v>0</v>
      </c>
      <c r="T26" s="307">
        <f t="shared" si="7"/>
        <v>4700</v>
      </c>
      <c r="U26" s="307">
        <f t="shared" si="8"/>
        <v>4700</v>
      </c>
      <c r="V26" s="349">
        <v>17</v>
      </c>
      <c r="W26" s="322" t="s">
        <v>292</v>
      </c>
      <c r="X26" s="316">
        <f t="shared" si="23"/>
        <v>9400</v>
      </c>
      <c r="Y26" s="307">
        <f t="shared" si="24"/>
        <v>0</v>
      </c>
      <c r="Z26" s="307">
        <f t="shared" si="25"/>
        <v>0</v>
      </c>
      <c r="AA26" s="307">
        <f t="shared" si="26"/>
        <v>9400</v>
      </c>
      <c r="AB26" s="347"/>
      <c r="AC26" s="348">
        <f t="shared" si="2"/>
        <v>0</v>
      </c>
      <c r="AD26" s="307">
        <v>12</v>
      </c>
      <c r="AE26" s="347">
        <v>3</v>
      </c>
      <c r="AF26" s="348">
        <f t="shared" si="3"/>
        <v>282</v>
      </c>
      <c r="AG26" s="348"/>
      <c r="AH26" s="307"/>
      <c r="AI26" s="315"/>
      <c r="AJ26" s="348">
        <f t="shared" si="4"/>
        <v>0</v>
      </c>
      <c r="AK26" s="349">
        <v>17</v>
      </c>
      <c r="AL26" s="322" t="s">
        <v>292</v>
      </c>
      <c r="AM26" s="368"/>
      <c r="AN26" s="356"/>
      <c r="AO26" s="356"/>
      <c r="AP26" s="356"/>
      <c r="AQ26" s="347"/>
      <c r="AR26" s="348">
        <f t="shared" si="13"/>
        <v>0</v>
      </c>
      <c r="AS26" s="347"/>
      <c r="AT26" s="348">
        <f t="shared" si="28"/>
        <v>0</v>
      </c>
      <c r="AU26" s="307">
        <f t="shared" si="14"/>
        <v>282</v>
      </c>
      <c r="AV26" s="307">
        <f t="shared" si="15"/>
        <v>9682</v>
      </c>
      <c r="AW26" s="307"/>
      <c r="AX26" s="307">
        <f t="shared" si="5"/>
        <v>0</v>
      </c>
      <c r="AY26" s="349">
        <v>17</v>
      </c>
      <c r="AZ26" s="322" t="s">
        <v>292</v>
      </c>
      <c r="BA26" s="322">
        <v>0.05</v>
      </c>
      <c r="BB26" s="357">
        <f t="shared" si="37"/>
        <v>470</v>
      </c>
      <c r="BC26" s="316"/>
      <c r="BD26" s="307">
        <f t="shared" si="17"/>
        <v>470</v>
      </c>
      <c r="BE26" s="307">
        <f t="shared" si="18"/>
        <v>10152</v>
      </c>
      <c r="BF26" s="307">
        <f t="shared" si="19"/>
        <v>1522.8</v>
      </c>
      <c r="BG26" s="87">
        <f t="shared" si="20"/>
        <v>11674.8</v>
      </c>
      <c r="BH26" s="358"/>
      <c r="BI26" s="358">
        <f t="shared" si="21"/>
        <v>12</v>
      </c>
      <c r="BJ26" s="359">
        <f t="shared" si="22"/>
        <v>0.66666666666666663</v>
      </c>
      <c r="BK26" s="360">
        <f t="shared" si="27"/>
        <v>0.66666666666666663</v>
      </c>
      <c r="BL26" s="174"/>
      <c r="BM26" s="174"/>
    </row>
    <row r="27" spans="1:65" s="162" customFormat="1" ht="15.75">
      <c r="A27" s="349">
        <v>18</v>
      </c>
      <c r="B27" s="369" t="s">
        <v>296</v>
      </c>
      <c r="C27" s="369" t="s">
        <v>297</v>
      </c>
      <c r="D27" s="370">
        <v>29</v>
      </c>
      <c r="E27" s="370"/>
      <c r="F27" s="352" t="s">
        <v>372</v>
      </c>
      <c r="G27" s="352">
        <v>11280</v>
      </c>
      <c r="H27" s="349">
        <v>18</v>
      </c>
      <c r="I27" s="369" t="s">
        <v>296</v>
      </c>
      <c r="J27" s="345"/>
      <c r="K27" s="345">
        <v>0.25</v>
      </c>
      <c r="L27" s="345"/>
      <c r="M27" s="307">
        <f t="shared" si="0"/>
        <v>14100</v>
      </c>
      <c r="N27" s="345"/>
      <c r="O27" s="246">
        <v>9</v>
      </c>
      <c r="P27" s="246">
        <v>4</v>
      </c>
      <c r="Q27" s="345"/>
      <c r="R27" s="345"/>
      <c r="S27" s="307">
        <f t="shared" si="6"/>
        <v>0</v>
      </c>
      <c r="T27" s="307">
        <f t="shared" si="7"/>
        <v>7050</v>
      </c>
      <c r="U27" s="307">
        <f t="shared" si="8"/>
        <v>3133.3333333333335</v>
      </c>
      <c r="V27" s="349">
        <v>18</v>
      </c>
      <c r="W27" s="369" t="s">
        <v>296</v>
      </c>
      <c r="X27" s="316">
        <f t="shared" si="23"/>
        <v>10183.333333333334</v>
      </c>
      <c r="Y27" s="307">
        <f t="shared" si="24"/>
        <v>0</v>
      </c>
      <c r="Z27" s="307">
        <f t="shared" si="25"/>
        <v>0</v>
      </c>
      <c r="AA27" s="307">
        <f t="shared" si="26"/>
        <v>10183.333333333334</v>
      </c>
      <c r="AB27" s="347"/>
      <c r="AC27" s="348">
        <f t="shared" si="2"/>
        <v>0</v>
      </c>
      <c r="AD27" s="371"/>
      <c r="AE27" s="372"/>
      <c r="AF27" s="348">
        <f t="shared" si="3"/>
        <v>0</v>
      </c>
      <c r="AG27" s="373"/>
      <c r="AH27" s="371"/>
      <c r="AI27" s="345"/>
      <c r="AJ27" s="373">
        <f t="shared" si="4"/>
        <v>0</v>
      </c>
      <c r="AK27" s="349">
        <v>18</v>
      </c>
      <c r="AL27" s="369" t="s">
        <v>296</v>
      </c>
      <c r="AM27" s="374"/>
      <c r="AN27" s="375"/>
      <c r="AO27" s="376"/>
      <c r="AP27" s="376"/>
      <c r="AQ27" s="372"/>
      <c r="AR27" s="348">
        <f t="shared" si="13"/>
        <v>0</v>
      </c>
      <c r="AS27" s="372"/>
      <c r="AT27" s="348">
        <f t="shared" si="28"/>
        <v>0</v>
      </c>
      <c r="AU27" s="307">
        <f t="shared" si="14"/>
        <v>0</v>
      </c>
      <c r="AV27" s="307">
        <f t="shared" si="15"/>
        <v>10183.333333333334</v>
      </c>
      <c r="AW27" s="371"/>
      <c r="AX27" s="307">
        <f t="shared" si="5"/>
        <v>0</v>
      </c>
      <c r="AY27" s="349">
        <v>18</v>
      </c>
      <c r="AZ27" s="369" t="s">
        <v>296</v>
      </c>
      <c r="BA27" s="322">
        <v>0.05</v>
      </c>
      <c r="BB27" s="357">
        <f t="shared" si="37"/>
        <v>509.16666666666669</v>
      </c>
      <c r="BC27" s="316"/>
      <c r="BD27" s="307">
        <f t="shared" si="17"/>
        <v>509.16666666666669</v>
      </c>
      <c r="BE27" s="307">
        <f t="shared" si="18"/>
        <v>10692.5</v>
      </c>
      <c r="BF27" s="307">
        <f t="shared" si="19"/>
        <v>1603.875</v>
      </c>
      <c r="BG27" s="87">
        <f t="shared" si="20"/>
        <v>12296.375</v>
      </c>
      <c r="BH27" s="358"/>
      <c r="BI27" s="358">
        <f t="shared" si="21"/>
        <v>13</v>
      </c>
      <c r="BJ27" s="359">
        <f t="shared" si="22"/>
        <v>0.72222222222222221</v>
      </c>
      <c r="BK27" s="360">
        <f t="shared" si="27"/>
        <v>0.72222222222222221</v>
      </c>
      <c r="BL27" s="174"/>
      <c r="BM27" s="174"/>
    </row>
    <row r="28" spans="1:65" s="162" customFormat="1" ht="15.75">
      <c r="A28" s="349">
        <v>19</v>
      </c>
      <c r="B28" s="377" t="s">
        <v>300</v>
      </c>
      <c r="C28" s="322" t="s">
        <v>339</v>
      </c>
      <c r="D28" s="378">
        <v>38</v>
      </c>
      <c r="E28" s="378" t="s">
        <v>340</v>
      </c>
      <c r="F28" s="352" t="s">
        <v>435</v>
      </c>
      <c r="G28" s="352">
        <v>13094</v>
      </c>
      <c r="H28" s="349">
        <v>19</v>
      </c>
      <c r="I28" s="377" t="s">
        <v>300</v>
      </c>
      <c r="J28" s="315"/>
      <c r="K28" s="315">
        <v>0.25</v>
      </c>
      <c r="L28" s="315"/>
      <c r="M28" s="307">
        <f t="shared" si="0"/>
        <v>16367.5</v>
      </c>
      <c r="N28" s="315"/>
      <c r="O28" s="164">
        <v>2</v>
      </c>
      <c r="P28" s="315"/>
      <c r="Q28" s="315"/>
      <c r="R28" s="315"/>
      <c r="S28" s="307">
        <f t="shared" si="6"/>
        <v>0</v>
      </c>
      <c r="T28" s="307">
        <f t="shared" si="7"/>
        <v>1818.6111111111111</v>
      </c>
      <c r="U28" s="307">
        <f t="shared" si="8"/>
        <v>0</v>
      </c>
      <c r="V28" s="349">
        <v>19</v>
      </c>
      <c r="W28" s="377" t="s">
        <v>300</v>
      </c>
      <c r="X28" s="316">
        <f t="shared" si="23"/>
        <v>1818.6111111111111</v>
      </c>
      <c r="Y28" s="307">
        <f t="shared" si="24"/>
        <v>0</v>
      </c>
      <c r="Z28" s="307">
        <f t="shared" si="25"/>
        <v>0</v>
      </c>
      <c r="AA28" s="307">
        <f t="shared" si="26"/>
        <v>1818.6111111111111</v>
      </c>
      <c r="AB28" s="347"/>
      <c r="AC28" s="348">
        <f t="shared" si="2"/>
        <v>0</v>
      </c>
      <c r="AD28" s="307"/>
      <c r="AE28" s="347"/>
      <c r="AF28" s="348">
        <f t="shared" si="3"/>
        <v>0</v>
      </c>
      <c r="AG28" s="348"/>
      <c r="AH28" s="307"/>
      <c r="AI28" s="315"/>
      <c r="AJ28" s="348">
        <f t="shared" si="4"/>
        <v>0</v>
      </c>
      <c r="AK28" s="349">
        <v>19</v>
      </c>
      <c r="AL28" s="377" t="s">
        <v>300</v>
      </c>
      <c r="AM28" s="365"/>
      <c r="AN28" s="356"/>
      <c r="AO28" s="356"/>
      <c r="AP28" s="356"/>
      <c r="AQ28" s="347"/>
      <c r="AR28" s="348">
        <f t="shared" si="13"/>
        <v>0</v>
      </c>
      <c r="AS28" s="347"/>
      <c r="AT28" s="348">
        <f t="shared" si="28"/>
        <v>0</v>
      </c>
      <c r="AU28" s="307">
        <f t="shared" si="14"/>
        <v>0</v>
      </c>
      <c r="AV28" s="307">
        <f t="shared" si="15"/>
        <v>1818.6111111111111</v>
      </c>
      <c r="AW28" s="307">
        <v>10</v>
      </c>
      <c r="AX28" s="307">
        <f t="shared" si="5"/>
        <v>181.86111111111109</v>
      </c>
      <c r="AY28" s="349">
        <v>19</v>
      </c>
      <c r="AZ28" s="377" t="s">
        <v>300</v>
      </c>
      <c r="BA28" s="322">
        <v>0.05</v>
      </c>
      <c r="BB28" s="357">
        <f t="shared" si="37"/>
        <v>90.930555555555557</v>
      </c>
      <c r="BC28" s="307"/>
      <c r="BD28" s="307">
        <f t="shared" si="17"/>
        <v>272.79166666666663</v>
      </c>
      <c r="BE28" s="307">
        <f t="shared" si="18"/>
        <v>2091.4027777777778</v>
      </c>
      <c r="BF28" s="307">
        <f t="shared" si="19"/>
        <v>313.71041666666667</v>
      </c>
      <c r="BG28" s="87">
        <f t="shared" si="20"/>
        <v>2405.1131944444446</v>
      </c>
      <c r="BH28" s="379"/>
      <c r="BI28" s="358">
        <f t="shared" si="21"/>
        <v>2</v>
      </c>
      <c r="BJ28" s="359">
        <f t="shared" si="22"/>
        <v>0.1111111111111111</v>
      </c>
      <c r="BK28" s="360">
        <f t="shared" si="27"/>
        <v>0.1111111111111111</v>
      </c>
      <c r="BL28" s="174"/>
      <c r="BM28" s="174"/>
    </row>
    <row r="29" spans="1:65" s="166" customFormat="1" ht="15.75">
      <c r="A29" s="349">
        <v>20</v>
      </c>
      <c r="B29" s="377" t="s">
        <v>413</v>
      </c>
      <c r="C29" s="322" t="s">
        <v>414</v>
      </c>
      <c r="D29" s="378">
        <v>21</v>
      </c>
      <c r="E29" s="378"/>
      <c r="F29" s="352" t="s">
        <v>372</v>
      </c>
      <c r="G29" s="352">
        <v>11280</v>
      </c>
      <c r="H29" s="349">
        <v>20</v>
      </c>
      <c r="I29" s="377" t="s">
        <v>413</v>
      </c>
      <c r="J29" s="315"/>
      <c r="K29" s="315">
        <v>0.25</v>
      </c>
      <c r="L29" s="315"/>
      <c r="M29" s="307">
        <f t="shared" si="0"/>
        <v>14100</v>
      </c>
      <c r="N29" s="315"/>
      <c r="O29" s="164">
        <v>10</v>
      </c>
      <c r="P29" s="164">
        <v>4</v>
      </c>
      <c r="Q29" s="315">
        <v>1</v>
      </c>
      <c r="R29" s="315"/>
      <c r="S29" s="307">
        <f>M29*N29/18</f>
        <v>0</v>
      </c>
      <c r="T29" s="307">
        <f>M29*O29/18</f>
        <v>7833.333333333333</v>
      </c>
      <c r="U29" s="307">
        <f>M29*P29/18</f>
        <v>3133.3333333333335</v>
      </c>
      <c r="V29" s="349">
        <v>20</v>
      </c>
      <c r="W29" s="377" t="s">
        <v>413</v>
      </c>
      <c r="X29" s="316">
        <f t="shared" si="23"/>
        <v>10966.666666666666</v>
      </c>
      <c r="Y29" s="307">
        <f t="shared" si="24"/>
        <v>783.33333333333337</v>
      </c>
      <c r="Z29" s="307">
        <f t="shared" si="25"/>
        <v>0</v>
      </c>
      <c r="AA29" s="307">
        <f t="shared" si="26"/>
        <v>11750</v>
      </c>
      <c r="AB29" s="347"/>
      <c r="AC29" s="348">
        <f t="shared" ref="AC29" si="39">M29*AB29/100</f>
        <v>0</v>
      </c>
      <c r="AD29" s="307"/>
      <c r="AE29" s="347"/>
      <c r="AF29" s="348">
        <f>(M29*AD29/18)*AE29/100</f>
        <v>0</v>
      </c>
      <c r="AG29" s="348">
        <f t="shared" ref="AG29" si="40">M29*5%</f>
        <v>705</v>
      </c>
      <c r="AH29" s="307"/>
      <c r="AI29" s="315"/>
      <c r="AJ29" s="348"/>
      <c r="AK29" s="349">
        <v>20</v>
      </c>
      <c r="AL29" s="350" t="s">
        <v>413</v>
      </c>
      <c r="AM29" s="365"/>
      <c r="AN29" s="355"/>
      <c r="AO29" s="356"/>
      <c r="AP29" s="356"/>
      <c r="AQ29" s="347"/>
      <c r="AR29" s="348">
        <f>M29*AQ29/100</f>
        <v>0</v>
      </c>
      <c r="AS29" s="307"/>
      <c r="AT29" s="348">
        <f t="shared" ref="AT29" si="41">(M29*AD29/18)*AS29/100</f>
        <v>0</v>
      </c>
      <c r="AU29" s="307">
        <f t="shared" si="14"/>
        <v>705</v>
      </c>
      <c r="AV29" s="307">
        <f t="shared" si="15"/>
        <v>12455</v>
      </c>
      <c r="AW29" s="307"/>
      <c r="AX29" s="307">
        <f>AV29*AW29/100</f>
        <v>0</v>
      </c>
      <c r="AY29" s="349">
        <v>20</v>
      </c>
      <c r="AZ29" s="377" t="s">
        <v>413</v>
      </c>
      <c r="BA29" s="322">
        <v>0.05</v>
      </c>
      <c r="BB29" s="357">
        <f t="shared" si="37"/>
        <v>587.5</v>
      </c>
      <c r="BC29" s="316"/>
      <c r="BD29" s="307">
        <f t="shared" si="17"/>
        <v>587.5</v>
      </c>
      <c r="BE29" s="307">
        <f t="shared" si="18"/>
        <v>13042.5</v>
      </c>
      <c r="BF29" s="307">
        <f t="shared" si="19"/>
        <v>1956.375</v>
      </c>
      <c r="BG29" s="87">
        <f t="shared" si="20"/>
        <v>14998.875</v>
      </c>
      <c r="BH29" s="358"/>
      <c r="BI29" s="358">
        <f t="shared" si="21"/>
        <v>15</v>
      </c>
      <c r="BJ29" s="359">
        <f t="shared" si="22"/>
        <v>0.83333333333333337</v>
      </c>
      <c r="BK29" s="360">
        <f>BJ29</f>
        <v>0.83333333333333337</v>
      </c>
      <c r="BL29" s="245"/>
      <c r="BM29" s="245"/>
    </row>
    <row r="30" spans="1:65" s="162" customFormat="1" ht="15.75">
      <c r="A30" s="349">
        <v>21</v>
      </c>
      <c r="B30" s="369" t="s">
        <v>342</v>
      </c>
      <c r="C30" s="369" t="s">
        <v>328</v>
      </c>
      <c r="D30" s="370">
        <v>8</v>
      </c>
      <c r="E30" s="370"/>
      <c r="F30" s="352" t="s">
        <v>372</v>
      </c>
      <c r="G30" s="352">
        <v>11280</v>
      </c>
      <c r="H30" s="349">
        <v>21</v>
      </c>
      <c r="I30" s="369" t="s">
        <v>342</v>
      </c>
      <c r="J30" s="345"/>
      <c r="K30" s="315">
        <v>0.25</v>
      </c>
      <c r="L30" s="345"/>
      <c r="M30" s="307">
        <f t="shared" si="0"/>
        <v>14100</v>
      </c>
      <c r="N30" s="345"/>
      <c r="O30" s="246">
        <v>5</v>
      </c>
      <c r="P30" s="345"/>
      <c r="Q30" s="345"/>
      <c r="R30" s="345"/>
      <c r="S30" s="307">
        <f t="shared" si="6"/>
        <v>0</v>
      </c>
      <c r="T30" s="307">
        <f t="shared" si="7"/>
        <v>3916.6666666666665</v>
      </c>
      <c r="U30" s="307">
        <f t="shared" si="8"/>
        <v>0</v>
      </c>
      <c r="V30" s="349">
        <v>21</v>
      </c>
      <c r="W30" s="369" t="s">
        <v>342</v>
      </c>
      <c r="X30" s="316">
        <f t="shared" si="23"/>
        <v>3916.6666666666665</v>
      </c>
      <c r="Y30" s="307">
        <f t="shared" si="24"/>
        <v>0</v>
      </c>
      <c r="Z30" s="307">
        <f t="shared" si="25"/>
        <v>0</v>
      </c>
      <c r="AA30" s="307">
        <f t="shared" si="26"/>
        <v>3916.6666666666665</v>
      </c>
      <c r="AB30" s="347"/>
      <c r="AC30" s="348">
        <f t="shared" si="2"/>
        <v>0</v>
      </c>
      <c r="AD30" s="371"/>
      <c r="AE30" s="372"/>
      <c r="AF30" s="348">
        <f t="shared" si="3"/>
        <v>0</v>
      </c>
      <c r="AG30" s="348"/>
      <c r="AH30" s="371"/>
      <c r="AI30" s="345"/>
      <c r="AJ30" s="373"/>
      <c r="AK30" s="349">
        <v>21</v>
      </c>
      <c r="AL30" s="369" t="s">
        <v>342</v>
      </c>
      <c r="AM30" s="374"/>
      <c r="AN30" s="356"/>
      <c r="AO30" s="376"/>
      <c r="AP30" s="376"/>
      <c r="AQ30" s="372"/>
      <c r="AR30" s="348">
        <f t="shared" si="13"/>
        <v>0</v>
      </c>
      <c r="AS30" s="372"/>
      <c r="AT30" s="348">
        <f t="shared" si="28"/>
        <v>0</v>
      </c>
      <c r="AU30" s="307">
        <f t="shared" si="14"/>
        <v>0</v>
      </c>
      <c r="AV30" s="307">
        <f t="shared" si="15"/>
        <v>3916.6666666666665</v>
      </c>
      <c r="AW30" s="371"/>
      <c r="AX30" s="307">
        <f t="shared" si="5"/>
        <v>0</v>
      </c>
      <c r="AY30" s="349">
        <v>21</v>
      </c>
      <c r="AZ30" s="369" t="s">
        <v>342</v>
      </c>
      <c r="BA30" s="322">
        <v>0.03</v>
      </c>
      <c r="BB30" s="357">
        <f t="shared" si="37"/>
        <v>117.5</v>
      </c>
      <c r="BC30" s="316"/>
      <c r="BD30" s="307">
        <f t="shared" si="17"/>
        <v>117.5</v>
      </c>
      <c r="BE30" s="307">
        <f t="shared" si="18"/>
        <v>4034.1666666666665</v>
      </c>
      <c r="BF30" s="307">
        <f t="shared" si="19"/>
        <v>605.125</v>
      </c>
      <c r="BG30" s="87">
        <f t="shared" si="20"/>
        <v>4639.2916666666661</v>
      </c>
      <c r="BH30" s="358"/>
      <c r="BI30" s="358">
        <f t="shared" si="21"/>
        <v>5</v>
      </c>
      <c r="BJ30" s="359">
        <f t="shared" si="22"/>
        <v>0.27777777777777779</v>
      </c>
      <c r="BK30" s="360">
        <f t="shared" si="27"/>
        <v>0.27777777777777779</v>
      </c>
      <c r="BL30" s="174"/>
      <c r="BM30" s="174"/>
    </row>
    <row r="31" spans="1:65" s="162" customFormat="1" ht="15.75">
      <c r="A31" s="349">
        <v>22</v>
      </c>
      <c r="B31" s="369" t="s">
        <v>299</v>
      </c>
      <c r="C31" s="322" t="s">
        <v>228</v>
      </c>
      <c r="D31" s="370">
        <v>17</v>
      </c>
      <c r="E31" s="370"/>
      <c r="F31" s="352" t="s">
        <v>372</v>
      </c>
      <c r="G31" s="352">
        <v>11280</v>
      </c>
      <c r="H31" s="349">
        <v>22</v>
      </c>
      <c r="I31" s="369" t="s">
        <v>299</v>
      </c>
      <c r="J31" s="345"/>
      <c r="K31" s="315">
        <v>0.25</v>
      </c>
      <c r="L31" s="345"/>
      <c r="M31" s="307">
        <f t="shared" si="0"/>
        <v>14100</v>
      </c>
      <c r="N31" s="246">
        <v>6</v>
      </c>
      <c r="O31" s="246">
        <v>3</v>
      </c>
      <c r="P31" s="345"/>
      <c r="Q31" s="345"/>
      <c r="R31" s="345"/>
      <c r="S31" s="307">
        <f t="shared" si="6"/>
        <v>4700</v>
      </c>
      <c r="T31" s="307">
        <f t="shared" si="7"/>
        <v>2350</v>
      </c>
      <c r="U31" s="307">
        <f t="shared" si="8"/>
        <v>0</v>
      </c>
      <c r="V31" s="349">
        <v>22</v>
      </c>
      <c r="W31" s="369" t="s">
        <v>299</v>
      </c>
      <c r="X31" s="316">
        <f t="shared" si="23"/>
        <v>7050</v>
      </c>
      <c r="Y31" s="307">
        <f t="shared" si="24"/>
        <v>0</v>
      </c>
      <c r="Z31" s="307">
        <f t="shared" si="25"/>
        <v>0</v>
      </c>
      <c r="AA31" s="307">
        <f t="shared" si="26"/>
        <v>7050</v>
      </c>
      <c r="AB31" s="347"/>
      <c r="AC31" s="348">
        <f t="shared" si="2"/>
        <v>0</v>
      </c>
      <c r="AD31" s="371"/>
      <c r="AE31" s="372"/>
      <c r="AF31" s="348">
        <f t="shared" si="3"/>
        <v>0</v>
      </c>
      <c r="AG31" s="373"/>
      <c r="AH31" s="371"/>
      <c r="AI31" s="345"/>
      <c r="AJ31" s="373"/>
      <c r="AK31" s="349">
        <v>22</v>
      </c>
      <c r="AL31" s="369" t="s">
        <v>299</v>
      </c>
      <c r="AM31" s="374"/>
      <c r="AN31" s="356"/>
      <c r="AO31" s="376"/>
      <c r="AP31" s="373">
        <f>M31*8%</f>
        <v>1128</v>
      </c>
      <c r="AQ31" s="372"/>
      <c r="AR31" s="348">
        <f t="shared" si="13"/>
        <v>0</v>
      </c>
      <c r="AS31" s="372"/>
      <c r="AT31" s="348">
        <f t="shared" si="28"/>
        <v>0</v>
      </c>
      <c r="AU31" s="307">
        <f t="shared" si="14"/>
        <v>1128</v>
      </c>
      <c r="AV31" s="307">
        <f t="shared" si="15"/>
        <v>8178</v>
      </c>
      <c r="AW31" s="371"/>
      <c r="AX31" s="307">
        <f t="shared" si="5"/>
        <v>0</v>
      </c>
      <c r="AY31" s="349">
        <v>22</v>
      </c>
      <c r="AZ31" s="369" t="s">
        <v>299</v>
      </c>
      <c r="BA31" s="322">
        <v>0.05</v>
      </c>
      <c r="BB31" s="357">
        <f t="shared" si="37"/>
        <v>352.5</v>
      </c>
      <c r="BC31" s="316"/>
      <c r="BD31" s="307">
        <f t="shared" si="17"/>
        <v>352.5</v>
      </c>
      <c r="BE31" s="307">
        <f t="shared" si="18"/>
        <v>8530.5</v>
      </c>
      <c r="BF31" s="307">
        <f t="shared" si="19"/>
        <v>1279.575</v>
      </c>
      <c r="BG31" s="87">
        <f t="shared" si="20"/>
        <v>9810.0750000000007</v>
      </c>
      <c r="BH31" s="358"/>
      <c r="BI31" s="358">
        <f t="shared" si="21"/>
        <v>9</v>
      </c>
      <c r="BJ31" s="359">
        <f t="shared" si="22"/>
        <v>0.5</v>
      </c>
      <c r="BK31" s="360">
        <f t="shared" si="27"/>
        <v>0.5</v>
      </c>
      <c r="BL31" s="174"/>
      <c r="BM31" s="174"/>
    </row>
    <row r="32" spans="1:65" s="162" customFormat="1" ht="15.75">
      <c r="A32" s="349">
        <v>23</v>
      </c>
      <c r="B32" s="322" t="s">
        <v>298</v>
      </c>
      <c r="C32" s="322" t="s">
        <v>228</v>
      </c>
      <c r="D32" s="352">
        <v>30</v>
      </c>
      <c r="E32" s="352"/>
      <c r="F32" s="352" t="s">
        <v>372</v>
      </c>
      <c r="G32" s="352">
        <v>11280</v>
      </c>
      <c r="H32" s="349">
        <v>23</v>
      </c>
      <c r="I32" s="322" t="s">
        <v>298</v>
      </c>
      <c r="J32" s="315"/>
      <c r="K32" s="315">
        <v>0.25</v>
      </c>
      <c r="L32" s="315"/>
      <c r="M32" s="307">
        <f t="shared" si="0"/>
        <v>14100</v>
      </c>
      <c r="N32" s="315"/>
      <c r="O32" s="164">
        <v>9</v>
      </c>
      <c r="P32" s="164">
        <v>6</v>
      </c>
      <c r="Q32" s="315"/>
      <c r="R32" s="315"/>
      <c r="S32" s="307">
        <f t="shared" si="6"/>
        <v>0</v>
      </c>
      <c r="T32" s="307">
        <f t="shared" si="7"/>
        <v>7050</v>
      </c>
      <c r="U32" s="307">
        <f t="shared" si="8"/>
        <v>4700</v>
      </c>
      <c r="V32" s="349">
        <v>23</v>
      </c>
      <c r="W32" s="322" t="s">
        <v>298</v>
      </c>
      <c r="X32" s="316">
        <f t="shared" si="23"/>
        <v>11750</v>
      </c>
      <c r="Y32" s="307">
        <f t="shared" si="24"/>
        <v>0</v>
      </c>
      <c r="Z32" s="307">
        <f t="shared" si="25"/>
        <v>0</v>
      </c>
      <c r="AA32" s="307">
        <f t="shared" si="26"/>
        <v>11750</v>
      </c>
      <c r="AB32" s="347">
        <v>13</v>
      </c>
      <c r="AC32" s="348">
        <f t="shared" si="2"/>
        <v>1833</v>
      </c>
      <c r="AD32" s="307"/>
      <c r="AE32" s="347"/>
      <c r="AF32" s="348">
        <f t="shared" si="3"/>
        <v>0</v>
      </c>
      <c r="AG32" s="348"/>
      <c r="AH32" s="307"/>
      <c r="AI32" s="315"/>
      <c r="AJ32" s="348">
        <f t="shared" si="4"/>
        <v>0</v>
      </c>
      <c r="AK32" s="349">
        <v>23</v>
      </c>
      <c r="AL32" s="322" t="s">
        <v>298</v>
      </c>
      <c r="AM32" s="365"/>
      <c r="AN32" s="355"/>
      <c r="AO32" s="356"/>
      <c r="AP32" s="373">
        <f>M32*8%</f>
        <v>1128</v>
      </c>
      <c r="AQ32" s="347"/>
      <c r="AR32" s="348">
        <f t="shared" si="13"/>
        <v>0</v>
      </c>
      <c r="AS32" s="347"/>
      <c r="AT32" s="348">
        <f t="shared" si="28"/>
        <v>0</v>
      </c>
      <c r="AU32" s="307">
        <f t="shared" si="14"/>
        <v>2961</v>
      </c>
      <c r="AV32" s="307">
        <f t="shared" si="15"/>
        <v>14711</v>
      </c>
      <c r="AW32" s="307"/>
      <c r="AX32" s="307">
        <f t="shared" si="5"/>
        <v>0</v>
      </c>
      <c r="AY32" s="349">
        <v>23</v>
      </c>
      <c r="AZ32" s="322" t="s">
        <v>298</v>
      </c>
      <c r="BA32" s="322">
        <v>0.05</v>
      </c>
      <c r="BB32" s="357">
        <f t="shared" si="37"/>
        <v>587.5</v>
      </c>
      <c r="BC32" s="316"/>
      <c r="BD32" s="307">
        <f t="shared" si="17"/>
        <v>587.5</v>
      </c>
      <c r="BE32" s="307">
        <f t="shared" si="18"/>
        <v>15298.5</v>
      </c>
      <c r="BF32" s="307">
        <f t="shared" si="19"/>
        <v>2294.7750000000001</v>
      </c>
      <c r="BG32" s="87">
        <f t="shared" si="20"/>
        <v>17593.275000000001</v>
      </c>
      <c r="BH32" s="358">
        <f>BI32+BI33</f>
        <v>15</v>
      </c>
      <c r="BI32" s="358">
        <f t="shared" si="21"/>
        <v>15</v>
      </c>
      <c r="BJ32" s="359">
        <f t="shared" si="22"/>
        <v>0.83333333333333337</v>
      </c>
      <c r="BK32" s="411">
        <v>0.83</v>
      </c>
      <c r="BL32" s="284"/>
      <c r="BM32" s="284"/>
    </row>
    <row r="33" spans="1:65" s="162" customFormat="1" ht="15.75">
      <c r="A33" s="349">
        <v>24</v>
      </c>
      <c r="B33" s="322" t="s">
        <v>298</v>
      </c>
      <c r="C33" s="322" t="s">
        <v>401</v>
      </c>
      <c r="D33" s="352">
        <v>30</v>
      </c>
      <c r="E33" s="352"/>
      <c r="F33" s="352" t="s">
        <v>372</v>
      </c>
      <c r="G33" s="352">
        <v>11280</v>
      </c>
      <c r="H33" s="349">
        <v>24</v>
      </c>
      <c r="I33" s="322" t="s">
        <v>298</v>
      </c>
      <c r="J33" s="315"/>
      <c r="K33" s="315">
        <v>0.25</v>
      </c>
      <c r="L33" s="315"/>
      <c r="M33" s="307">
        <f t="shared" si="0"/>
        <v>14100</v>
      </c>
      <c r="N33" s="315"/>
      <c r="O33" s="315"/>
      <c r="P33" s="315"/>
      <c r="Q33" s="315"/>
      <c r="R33" s="315"/>
      <c r="S33" s="307">
        <f t="shared" si="6"/>
        <v>0</v>
      </c>
      <c r="T33" s="307">
        <f t="shared" si="7"/>
        <v>0</v>
      </c>
      <c r="U33" s="307">
        <f t="shared" si="8"/>
        <v>0</v>
      </c>
      <c r="V33" s="349">
        <v>24</v>
      </c>
      <c r="W33" s="322" t="s">
        <v>298</v>
      </c>
      <c r="X33" s="316">
        <f t="shared" si="23"/>
        <v>0</v>
      </c>
      <c r="Y33" s="307">
        <f t="shared" si="24"/>
        <v>0</v>
      </c>
      <c r="Z33" s="307">
        <f t="shared" si="25"/>
        <v>0</v>
      </c>
      <c r="AA33" s="307">
        <f t="shared" si="26"/>
        <v>0</v>
      </c>
      <c r="AB33" s="347"/>
      <c r="AC33" s="348">
        <f t="shared" si="2"/>
        <v>0</v>
      </c>
      <c r="AD33" s="307"/>
      <c r="AE33" s="347"/>
      <c r="AF33" s="348">
        <f t="shared" si="3"/>
        <v>0</v>
      </c>
      <c r="AG33" s="348"/>
      <c r="AH33" s="307"/>
      <c r="AI33" s="315"/>
      <c r="AJ33" s="348">
        <f t="shared" si="4"/>
        <v>0</v>
      </c>
      <c r="AK33" s="349">
        <v>24</v>
      </c>
      <c r="AL33" s="322" t="s">
        <v>298</v>
      </c>
      <c r="AM33" s="365"/>
      <c r="AN33" s="355"/>
      <c r="AO33" s="356"/>
      <c r="AP33" s="373"/>
      <c r="AQ33" s="347"/>
      <c r="AR33" s="348">
        <f t="shared" si="13"/>
        <v>0</v>
      </c>
      <c r="AS33" s="347"/>
      <c r="AT33" s="348">
        <f t="shared" si="28"/>
        <v>0</v>
      </c>
      <c r="AU33" s="307">
        <f t="shared" si="14"/>
        <v>0</v>
      </c>
      <c r="AV33" s="307">
        <f t="shared" si="15"/>
        <v>0</v>
      </c>
      <c r="AW33" s="307"/>
      <c r="AX33" s="307">
        <f t="shared" si="5"/>
        <v>0</v>
      </c>
      <c r="AY33" s="349">
        <v>24</v>
      </c>
      <c r="AZ33" s="322" t="s">
        <v>298</v>
      </c>
      <c r="BA33" s="322"/>
      <c r="BB33" s="357"/>
      <c r="BC33" s="316"/>
      <c r="BD33" s="307">
        <f t="shared" si="17"/>
        <v>0</v>
      </c>
      <c r="BE33" s="307">
        <f t="shared" si="18"/>
        <v>0</v>
      </c>
      <c r="BF33" s="307">
        <f t="shared" si="19"/>
        <v>0</v>
      </c>
      <c r="BG33" s="87">
        <f t="shared" si="20"/>
        <v>0</v>
      </c>
      <c r="BH33" s="358"/>
      <c r="BI33" s="358">
        <f t="shared" si="21"/>
        <v>0</v>
      </c>
      <c r="BJ33" s="359">
        <f t="shared" si="22"/>
        <v>0</v>
      </c>
      <c r="BK33" s="412"/>
      <c r="BL33" s="284"/>
      <c r="BM33" s="284"/>
    </row>
    <row r="34" spans="1:65" s="162" customFormat="1" ht="15.75">
      <c r="A34" s="349">
        <v>25</v>
      </c>
      <c r="B34" s="350" t="s">
        <v>303</v>
      </c>
      <c r="C34" s="322" t="s">
        <v>305</v>
      </c>
      <c r="D34" s="351">
        <v>32</v>
      </c>
      <c r="E34" s="351"/>
      <c r="F34" s="352" t="s">
        <v>440</v>
      </c>
      <c r="G34" s="352">
        <v>13094</v>
      </c>
      <c r="H34" s="349">
        <v>25</v>
      </c>
      <c r="I34" s="350" t="s">
        <v>303</v>
      </c>
      <c r="J34" s="315"/>
      <c r="K34" s="315">
        <v>0.25</v>
      </c>
      <c r="L34" s="315"/>
      <c r="M34" s="307">
        <f t="shared" si="0"/>
        <v>16367.5</v>
      </c>
      <c r="N34" s="315"/>
      <c r="O34" s="164">
        <v>10</v>
      </c>
      <c r="P34" s="164">
        <v>4</v>
      </c>
      <c r="Q34" s="315">
        <v>1</v>
      </c>
      <c r="R34" s="315"/>
      <c r="S34" s="307">
        <f t="shared" si="6"/>
        <v>0</v>
      </c>
      <c r="T34" s="307">
        <f t="shared" si="7"/>
        <v>9093.0555555555547</v>
      </c>
      <c r="U34" s="307">
        <f t="shared" si="8"/>
        <v>3637.2222222222222</v>
      </c>
      <c r="V34" s="349">
        <v>25</v>
      </c>
      <c r="W34" s="350" t="s">
        <v>303</v>
      </c>
      <c r="X34" s="316">
        <f t="shared" si="23"/>
        <v>12730.277777777777</v>
      </c>
      <c r="Y34" s="307">
        <f t="shared" si="24"/>
        <v>909.30555555555554</v>
      </c>
      <c r="Z34" s="307">
        <f t="shared" si="25"/>
        <v>0</v>
      </c>
      <c r="AA34" s="307">
        <f t="shared" si="26"/>
        <v>13639.583333333332</v>
      </c>
      <c r="AB34" s="347">
        <v>13</v>
      </c>
      <c r="AC34" s="348">
        <f t="shared" si="2"/>
        <v>2127.7750000000001</v>
      </c>
      <c r="AD34" s="307">
        <v>2</v>
      </c>
      <c r="AE34" s="347">
        <v>3</v>
      </c>
      <c r="AF34" s="348">
        <f t="shared" si="3"/>
        <v>54.55833333333333</v>
      </c>
      <c r="AG34" s="348">
        <f t="shared" ref="AG34" si="42">M34*5%</f>
        <v>818.375</v>
      </c>
      <c r="AH34" s="307"/>
      <c r="AI34" s="315"/>
      <c r="AJ34" s="348"/>
      <c r="AK34" s="349">
        <v>25</v>
      </c>
      <c r="AL34" s="350" t="s">
        <v>303</v>
      </c>
      <c r="AM34" s="365"/>
      <c r="AN34" s="355"/>
      <c r="AO34" s="356"/>
      <c r="AP34" s="356"/>
      <c r="AQ34" s="347"/>
      <c r="AR34" s="348">
        <f t="shared" si="13"/>
        <v>0</v>
      </c>
      <c r="AS34" s="347"/>
      <c r="AT34" s="348">
        <f t="shared" si="28"/>
        <v>0</v>
      </c>
      <c r="AU34" s="307">
        <f t="shared" si="14"/>
        <v>3000.7083333333335</v>
      </c>
      <c r="AV34" s="307">
        <f t="shared" si="15"/>
        <v>16640.291666666664</v>
      </c>
      <c r="AW34" s="307"/>
      <c r="AX34" s="307">
        <f t="shared" si="5"/>
        <v>0</v>
      </c>
      <c r="AY34" s="349">
        <v>25</v>
      </c>
      <c r="AZ34" s="350" t="s">
        <v>303</v>
      </c>
      <c r="BA34" s="322">
        <v>0.05</v>
      </c>
      <c r="BB34" s="357">
        <f>M34*BA34*BI34/18</f>
        <v>681.97916666666663</v>
      </c>
      <c r="BC34" s="316"/>
      <c r="BD34" s="307">
        <f t="shared" si="17"/>
        <v>681.97916666666663</v>
      </c>
      <c r="BE34" s="307">
        <f t="shared" si="18"/>
        <v>17322.270833333332</v>
      </c>
      <c r="BF34" s="307">
        <f t="shared" si="19"/>
        <v>2598.3406249999998</v>
      </c>
      <c r="BG34" s="87">
        <f t="shared" si="20"/>
        <v>19920.611458333333</v>
      </c>
      <c r="BH34" s="358"/>
      <c r="BI34" s="358">
        <f t="shared" si="21"/>
        <v>15</v>
      </c>
      <c r="BJ34" s="359">
        <f t="shared" si="22"/>
        <v>0.83333333333333337</v>
      </c>
      <c r="BK34" s="360">
        <f>BJ34</f>
        <v>0.83333333333333337</v>
      </c>
      <c r="BL34" s="174"/>
      <c r="BM34" s="174"/>
    </row>
    <row r="35" spans="1:65" s="162" customFormat="1" ht="15.75">
      <c r="A35" s="349">
        <v>26</v>
      </c>
      <c r="B35" s="350" t="s">
        <v>304</v>
      </c>
      <c r="C35" s="322" t="s">
        <v>305</v>
      </c>
      <c r="D35" s="351">
        <v>24</v>
      </c>
      <c r="E35" s="351" t="s">
        <v>338</v>
      </c>
      <c r="F35" s="352" t="s">
        <v>372</v>
      </c>
      <c r="G35" s="352">
        <v>11280</v>
      </c>
      <c r="H35" s="349">
        <v>26</v>
      </c>
      <c r="I35" s="350" t="s">
        <v>304</v>
      </c>
      <c r="J35" s="315"/>
      <c r="K35" s="315">
        <v>0.25</v>
      </c>
      <c r="L35" s="315"/>
      <c r="M35" s="307">
        <f t="shared" si="0"/>
        <v>14100</v>
      </c>
      <c r="N35" s="315"/>
      <c r="O35" s="164">
        <v>3</v>
      </c>
      <c r="P35" s="164">
        <v>2</v>
      </c>
      <c r="Q35" s="315">
        <v>1</v>
      </c>
      <c r="R35" s="315"/>
      <c r="S35" s="307">
        <f t="shared" si="6"/>
        <v>0</v>
      </c>
      <c r="T35" s="307">
        <f t="shared" si="7"/>
        <v>2350</v>
      </c>
      <c r="U35" s="307">
        <f t="shared" si="8"/>
        <v>1566.6666666666667</v>
      </c>
      <c r="V35" s="349">
        <v>26</v>
      </c>
      <c r="W35" s="350" t="s">
        <v>304</v>
      </c>
      <c r="X35" s="316">
        <f t="shared" si="23"/>
        <v>3916.666666666667</v>
      </c>
      <c r="Y35" s="307">
        <f t="shared" si="24"/>
        <v>783.33333333333337</v>
      </c>
      <c r="Z35" s="307">
        <f t="shared" si="25"/>
        <v>0</v>
      </c>
      <c r="AA35" s="307">
        <f t="shared" si="26"/>
        <v>4700</v>
      </c>
      <c r="AB35" s="347"/>
      <c r="AC35" s="348">
        <f t="shared" si="2"/>
        <v>0</v>
      </c>
      <c r="AD35" s="307"/>
      <c r="AE35" s="347"/>
      <c r="AF35" s="348">
        <f t="shared" si="3"/>
        <v>0</v>
      </c>
      <c r="AG35" s="348"/>
      <c r="AH35" s="307"/>
      <c r="AI35" s="315"/>
      <c r="AJ35" s="348"/>
      <c r="AK35" s="349">
        <v>26</v>
      </c>
      <c r="AL35" s="350" t="s">
        <v>304</v>
      </c>
      <c r="AM35" s="365"/>
      <c r="AN35" s="355"/>
      <c r="AO35" s="356"/>
      <c r="AP35" s="356"/>
      <c r="AQ35" s="347"/>
      <c r="AR35" s="348">
        <f t="shared" si="13"/>
        <v>0</v>
      </c>
      <c r="AS35" s="347"/>
      <c r="AT35" s="348">
        <f t="shared" si="28"/>
        <v>0</v>
      </c>
      <c r="AU35" s="307">
        <f t="shared" si="14"/>
        <v>0</v>
      </c>
      <c r="AV35" s="307">
        <f t="shared" si="15"/>
        <v>4700</v>
      </c>
      <c r="AW35" s="307">
        <v>10</v>
      </c>
      <c r="AX35" s="307">
        <f t="shared" si="5"/>
        <v>470</v>
      </c>
      <c r="AY35" s="349">
        <v>26</v>
      </c>
      <c r="AZ35" s="350" t="s">
        <v>304</v>
      </c>
      <c r="BA35" s="322">
        <v>0.05</v>
      </c>
      <c r="BB35" s="357">
        <f>M35*BA35*BI35/18</f>
        <v>235</v>
      </c>
      <c r="BC35" s="316"/>
      <c r="BD35" s="307">
        <f t="shared" si="17"/>
        <v>705</v>
      </c>
      <c r="BE35" s="307">
        <f t="shared" si="18"/>
        <v>5405</v>
      </c>
      <c r="BF35" s="307">
        <f t="shared" si="19"/>
        <v>810.75</v>
      </c>
      <c r="BG35" s="87">
        <f t="shared" si="20"/>
        <v>6215.75</v>
      </c>
      <c r="BH35" s="358"/>
      <c r="BI35" s="358">
        <f t="shared" si="21"/>
        <v>6</v>
      </c>
      <c r="BJ35" s="359">
        <f t="shared" si="22"/>
        <v>0.33333333333333331</v>
      </c>
      <c r="BK35" s="360">
        <f t="shared" ref="BK35:BK38" si="43">BJ35</f>
        <v>0.33333333333333331</v>
      </c>
      <c r="BL35" s="174"/>
      <c r="BM35" s="174"/>
    </row>
    <row r="36" spans="1:65" s="162" customFormat="1" ht="15.75">
      <c r="A36" s="349">
        <v>27</v>
      </c>
      <c r="B36" s="350" t="s">
        <v>302</v>
      </c>
      <c r="C36" s="322" t="s">
        <v>301</v>
      </c>
      <c r="D36" s="351">
        <v>47</v>
      </c>
      <c r="E36" s="351" t="s">
        <v>331</v>
      </c>
      <c r="F36" s="352" t="s">
        <v>441</v>
      </c>
      <c r="G36" s="352">
        <v>13094</v>
      </c>
      <c r="H36" s="349">
        <v>27</v>
      </c>
      <c r="I36" s="350" t="s">
        <v>302</v>
      </c>
      <c r="J36" s="315">
        <v>0.08</v>
      </c>
      <c r="K36" s="315">
        <v>0.25</v>
      </c>
      <c r="L36" s="315"/>
      <c r="M36" s="307">
        <f t="shared" si="0"/>
        <v>17676.900000000001</v>
      </c>
      <c r="N36" s="315"/>
      <c r="O36" s="164">
        <v>4</v>
      </c>
      <c r="P36" s="164">
        <v>2</v>
      </c>
      <c r="Q36" s="315">
        <v>1</v>
      </c>
      <c r="R36" s="315"/>
      <c r="S36" s="307">
        <f t="shared" si="6"/>
        <v>0</v>
      </c>
      <c r="T36" s="307">
        <f t="shared" si="7"/>
        <v>3928.2000000000003</v>
      </c>
      <c r="U36" s="307">
        <f t="shared" si="8"/>
        <v>1964.1000000000001</v>
      </c>
      <c r="V36" s="349">
        <v>27</v>
      </c>
      <c r="W36" s="350" t="s">
        <v>302</v>
      </c>
      <c r="X36" s="316">
        <f t="shared" si="23"/>
        <v>5892.3</v>
      </c>
      <c r="Y36" s="307">
        <f t="shared" si="24"/>
        <v>982.05000000000007</v>
      </c>
      <c r="Z36" s="307">
        <f t="shared" si="25"/>
        <v>0</v>
      </c>
      <c r="AA36" s="307">
        <f t="shared" si="26"/>
        <v>6874.35</v>
      </c>
      <c r="AB36" s="347"/>
      <c r="AC36" s="348">
        <f t="shared" si="2"/>
        <v>0</v>
      </c>
      <c r="AD36" s="307">
        <v>6</v>
      </c>
      <c r="AE36" s="347">
        <v>3</v>
      </c>
      <c r="AF36" s="348">
        <f t="shared" si="3"/>
        <v>176.76900000000001</v>
      </c>
      <c r="AG36" s="348">
        <f t="shared" ref="AG36:AG37" si="44">M36*5%</f>
        <v>883.84500000000014</v>
      </c>
      <c r="AH36" s="307"/>
      <c r="AI36" s="315"/>
      <c r="AJ36" s="348">
        <f t="shared" si="4"/>
        <v>0</v>
      </c>
      <c r="AK36" s="349">
        <v>27</v>
      </c>
      <c r="AL36" s="350" t="s">
        <v>302</v>
      </c>
      <c r="AM36" s="365"/>
      <c r="AN36" s="380"/>
      <c r="AO36" s="356"/>
      <c r="AP36" s="356"/>
      <c r="AQ36" s="347"/>
      <c r="AR36" s="348">
        <f t="shared" si="13"/>
        <v>0</v>
      </c>
      <c r="AS36" s="347"/>
      <c r="AT36" s="348">
        <f t="shared" si="28"/>
        <v>0</v>
      </c>
      <c r="AU36" s="307">
        <f t="shared" si="14"/>
        <v>1060.614</v>
      </c>
      <c r="AV36" s="307">
        <f t="shared" si="15"/>
        <v>7934.9639999999999</v>
      </c>
      <c r="AW36" s="307"/>
      <c r="AX36" s="307">
        <f t="shared" si="5"/>
        <v>0</v>
      </c>
      <c r="AY36" s="349">
        <v>27</v>
      </c>
      <c r="AZ36" s="350" t="s">
        <v>302</v>
      </c>
      <c r="BA36" s="322">
        <v>0.05</v>
      </c>
      <c r="BB36" s="357">
        <f>M36*BA36*BI36/18</f>
        <v>343.71750000000003</v>
      </c>
      <c r="BC36" s="316"/>
      <c r="BD36" s="307">
        <f t="shared" si="17"/>
        <v>343.71750000000003</v>
      </c>
      <c r="BE36" s="307">
        <f t="shared" si="18"/>
        <v>8278.6815000000006</v>
      </c>
      <c r="BF36" s="307">
        <f t="shared" si="19"/>
        <v>1241.8022250000001</v>
      </c>
      <c r="BG36" s="87">
        <f t="shared" si="20"/>
        <v>9520.483725</v>
      </c>
      <c r="BH36" s="358"/>
      <c r="BI36" s="358">
        <f t="shared" si="21"/>
        <v>7</v>
      </c>
      <c r="BJ36" s="359">
        <f t="shared" si="22"/>
        <v>0.3888888888888889</v>
      </c>
      <c r="BK36" s="360">
        <f t="shared" si="43"/>
        <v>0.3888888888888889</v>
      </c>
      <c r="BL36" s="174"/>
      <c r="BM36" s="174"/>
    </row>
    <row r="37" spans="1:65" s="162" customFormat="1" ht="15.75">
      <c r="A37" s="349">
        <v>28</v>
      </c>
      <c r="B37" s="350" t="s">
        <v>307</v>
      </c>
      <c r="C37" s="322" t="s">
        <v>231</v>
      </c>
      <c r="D37" s="351">
        <v>38</v>
      </c>
      <c r="E37" s="351" t="s">
        <v>333</v>
      </c>
      <c r="F37" s="352" t="s">
        <v>442</v>
      </c>
      <c r="G37" s="352">
        <v>13094</v>
      </c>
      <c r="H37" s="349">
        <v>28</v>
      </c>
      <c r="I37" s="350" t="s">
        <v>307</v>
      </c>
      <c r="J37" s="315"/>
      <c r="K37" s="315">
        <v>0.25</v>
      </c>
      <c r="L37" s="315"/>
      <c r="M37" s="307">
        <f t="shared" si="0"/>
        <v>16367.5</v>
      </c>
      <c r="N37" s="315"/>
      <c r="O37" s="164">
        <v>8</v>
      </c>
      <c r="P37" s="164">
        <v>2</v>
      </c>
      <c r="Q37" s="315">
        <v>1</v>
      </c>
      <c r="R37" s="315"/>
      <c r="S37" s="307">
        <f t="shared" si="6"/>
        <v>0</v>
      </c>
      <c r="T37" s="307">
        <f t="shared" si="7"/>
        <v>7274.4444444444443</v>
      </c>
      <c r="U37" s="307">
        <f t="shared" si="8"/>
        <v>1818.6111111111111</v>
      </c>
      <c r="V37" s="349">
        <v>28</v>
      </c>
      <c r="W37" s="350" t="s">
        <v>307</v>
      </c>
      <c r="X37" s="316">
        <f t="shared" si="23"/>
        <v>9093.0555555555547</v>
      </c>
      <c r="Y37" s="307">
        <f t="shared" si="24"/>
        <v>909.30555555555554</v>
      </c>
      <c r="Z37" s="307">
        <f t="shared" si="25"/>
        <v>0</v>
      </c>
      <c r="AA37" s="307">
        <f t="shared" si="26"/>
        <v>10002.361111111109</v>
      </c>
      <c r="AB37" s="347"/>
      <c r="AC37" s="348">
        <f t="shared" si="2"/>
        <v>0</v>
      </c>
      <c r="AD37" s="307"/>
      <c r="AE37" s="347"/>
      <c r="AF37" s="348">
        <f t="shared" si="3"/>
        <v>0</v>
      </c>
      <c r="AG37" s="348">
        <f t="shared" si="44"/>
        <v>818.375</v>
      </c>
      <c r="AH37" s="307"/>
      <c r="AI37" s="315"/>
      <c r="AJ37" s="348">
        <f t="shared" si="4"/>
        <v>0</v>
      </c>
      <c r="AK37" s="349">
        <v>28</v>
      </c>
      <c r="AL37" s="350" t="s">
        <v>307</v>
      </c>
      <c r="AM37" s="381"/>
      <c r="AN37" s="355"/>
      <c r="AO37" s="356"/>
      <c r="AP37" s="356"/>
      <c r="AQ37" s="347"/>
      <c r="AR37" s="348">
        <f t="shared" si="13"/>
        <v>0</v>
      </c>
      <c r="AS37" s="347"/>
      <c r="AT37" s="348">
        <f t="shared" si="28"/>
        <v>0</v>
      </c>
      <c r="AU37" s="307">
        <f t="shared" si="14"/>
        <v>818.375</v>
      </c>
      <c r="AV37" s="307">
        <f t="shared" si="15"/>
        <v>10820.736111111109</v>
      </c>
      <c r="AW37" s="307">
        <v>10</v>
      </c>
      <c r="AX37" s="307">
        <f t="shared" si="5"/>
        <v>1082.0736111111109</v>
      </c>
      <c r="AY37" s="349">
        <v>28</v>
      </c>
      <c r="AZ37" s="350" t="s">
        <v>307</v>
      </c>
      <c r="BA37" s="322">
        <v>0.05</v>
      </c>
      <c r="BB37" s="357">
        <f>M37*BA37*BI37/18</f>
        <v>500.11805555555554</v>
      </c>
      <c r="BC37" s="316"/>
      <c r="BD37" s="307">
        <f t="shared" si="17"/>
        <v>1582.1916666666666</v>
      </c>
      <c r="BE37" s="307">
        <f t="shared" si="18"/>
        <v>12402.927777777775</v>
      </c>
      <c r="BF37" s="307">
        <f t="shared" si="19"/>
        <v>1860.4391666666661</v>
      </c>
      <c r="BG37" s="87">
        <f t="shared" si="20"/>
        <v>14263.366944444442</v>
      </c>
      <c r="BH37" s="358"/>
      <c r="BI37" s="358">
        <f t="shared" si="21"/>
        <v>11</v>
      </c>
      <c r="BJ37" s="359">
        <f t="shared" si="22"/>
        <v>0.61111111111111116</v>
      </c>
      <c r="BK37" s="360">
        <f t="shared" si="43"/>
        <v>0.61111111111111116</v>
      </c>
      <c r="BL37" s="174"/>
      <c r="BM37" s="174"/>
    </row>
    <row r="38" spans="1:65" s="162" customFormat="1" ht="15.75">
      <c r="A38" s="349">
        <v>29</v>
      </c>
      <c r="B38" s="350" t="s">
        <v>308</v>
      </c>
      <c r="C38" s="322" t="s">
        <v>231</v>
      </c>
      <c r="D38" s="351">
        <v>32</v>
      </c>
      <c r="E38" s="351"/>
      <c r="F38" s="352" t="s">
        <v>372</v>
      </c>
      <c r="G38" s="352">
        <v>11280</v>
      </c>
      <c r="H38" s="349">
        <v>29</v>
      </c>
      <c r="I38" s="350" t="s">
        <v>308</v>
      </c>
      <c r="J38" s="315"/>
      <c r="K38" s="315">
        <v>0.25</v>
      </c>
      <c r="L38" s="315"/>
      <c r="M38" s="307">
        <f t="shared" si="0"/>
        <v>14100</v>
      </c>
      <c r="N38" s="164">
        <v>2</v>
      </c>
      <c r="O38" s="164">
        <v>4</v>
      </c>
      <c r="P38" s="315"/>
      <c r="Q38" s="315"/>
      <c r="R38" s="315"/>
      <c r="S38" s="307">
        <f t="shared" si="6"/>
        <v>1566.6666666666667</v>
      </c>
      <c r="T38" s="307">
        <f t="shared" si="7"/>
        <v>3133.3333333333335</v>
      </c>
      <c r="U38" s="307">
        <f t="shared" si="8"/>
        <v>0</v>
      </c>
      <c r="V38" s="349">
        <v>29</v>
      </c>
      <c r="W38" s="350" t="s">
        <v>308</v>
      </c>
      <c r="X38" s="316">
        <f t="shared" si="23"/>
        <v>4700</v>
      </c>
      <c r="Y38" s="307">
        <f t="shared" si="24"/>
        <v>0</v>
      </c>
      <c r="Z38" s="307">
        <f t="shared" si="25"/>
        <v>0</v>
      </c>
      <c r="AA38" s="307">
        <f t="shared" si="26"/>
        <v>4700</v>
      </c>
      <c r="AB38" s="347"/>
      <c r="AC38" s="348">
        <f t="shared" si="2"/>
        <v>0</v>
      </c>
      <c r="AD38" s="307"/>
      <c r="AE38" s="347"/>
      <c r="AF38" s="348">
        <f t="shared" si="3"/>
        <v>0</v>
      </c>
      <c r="AG38" s="348"/>
      <c r="AH38" s="307"/>
      <c r="AI38" s="315"/>
      <c r="AJ38" s="348"/>
      <c r="AK38" s="349">
        <v>29</v>
      </c>
      <c r="AL38" s="350" t="s">
        <v>308</v>
      </c>
      <c r="AM38" s="381"/>
      <c r="AN38" s="355"/>
      <c r="AO38" s="356">
        <f>M38*10%</f>
        <v>1410</v>
      </c>
      <c r="AP38" s="356"/>
      <c r="AQ38" s="347"/>
      <c r="AR38" s="348">
        <f t="shared" si="13"/>
        <v>0</v>
      </c>
      <c r="AS38" s="347"/>
      <c r="AT38" s="348">
        <f t="shared" si="28"/>
        <v>0</v>
      </c>
      <c r="AU38" s="307">
        <f t="shared" si="14"/>
        <v>1410</v>
      </c>
      <c r="AV38" s="307">
        <f t="shared" si="15"/>
        <v>6110</v>
      </c>
      <c r="AW38" s="307"/>
      <c r="AX38" s="307">
        <f t="shared" si="5"/>
        <v>0</v>
      </c>
      <c r="AY38" s="349">
        <v>29</v>
      </c>
      <c r="AZ38" s="350" t="s">
        <v>308</v>
      </c>
      <c r="BA38" s="322">
        <v>0.05</v>
      </c>
      <c r="BB38" s="357">
        <f>M38*BA38*BI38/18</f>
        <v>235</v>
      </c>
      <c r="BC38" s="316"/>
      <c r="BD38" s="307">
        <f t="shared" si="17"/>
        <v>235</v>
      </c>
      <c r="BE38" s="307">
        <f t="shared" si="18"/>
        <v>6345</v>
      </c>
      <c r="BF38" s="307">
        <f t="shared" si="19"/>
        <v>951.75</v>
      </c>
      <c r="BG38" s="87">
        <f t="shared" si="20"/>
        <v>7296.75</v>
      </c>
      <c r="BH38" s="358"/>
      <c r="BI38" s="358">
        <f t="shared" si="21"/>
        <v>6</v>
      </c>
      <c r="BJ38" s="359">
        <f t="shared" si="22"/>
        <v>0.33333333333333331</v>
      </c>
      <c r="BK38" s="360">
        <f t="shared" si="43"/>
        <v>0.33333333333333331</v>
      </c>
      <c r="BL38" s="174"/>
      <c r="BM38" s="174"/>
    </row>
    <row r="39" spans="1:65" s="162" customFormat="1" ht="15.75">
      <c r="A39" s="349">
        <v>30</v>
      </c>
      <c r="B39" s="322" t="s">
        <v>310</v>
      </c>
      <c r="C39" s="322" t="s">
        <v>317</v>
      </c>
      <c r="D39" s="352">
        <v>32</v>
      </c>
      <c r="E39" s="352"/>
      <c r="F39" s="352" t="s">
        <v>443</v>
      </c>
      <c r="G39" s="352">
        <v>13094</v>
      </c>
      <c r="H39" s="349">
        <v>30</v>
      </c>
      <c r="I39" s="322" t="s">
        <v>310</v>
      </c>
      <c r="J39" s="315"/>
      <c r="K39" s="315">
        <v>0.25</v>
      </c>
      <c r="L39" s="315"/>
      <c r="M39" s="307">
        <f t="shared" si="0"/>
        <v>16367.5</v>
      </c>
      <c r="N39" s="164">
        <v>20</v>
      </c>
      <c r="O39" s="315"/>
      <c r="P39" s="315"/>
      <c r="Q39" s="315"/>
      <c r="R39" s="315"/>
      <c r="S39" s="307">
        <f t="shared" si="6"/>
        <v>18186.111111111109</v>
      </c>
      <c r="T39" s="307">
        <f t="shared" si="7"/>
        <v>0</v>
      </c>
      <c r="U39" s="307">
        <f t="shared" si="8"/>
        <v>0</v>
      </c>
      <c r="V39" s="349">
        <v>30</v>
      </c>
      <c r="W39" s="322" t="s">
        <v>310</v>
      </c>
      <c r="X39" s="316">
        <f t="shared" si="23"/>
        <v>18186.111111111109</v>
      </c>
      <c r="Y39" s="307">
        <f t="shared" si="24"/>
        <v>0</v>
      </c>
      <c r="Z39" s="307">
        <f t="shared" si="25"/>
        <v>0</v>
      </c>
      <c r="AA39" s="307">
        <f t="shared" si="26"/>
        <v>18186.111111111109</v>
      </c>
      <c r="AB39" s="347">
        <v>10</v>
      </c>
      <c r="AC39" s="348">
        <f t="shared" si="2"/>
        <v>1636.75</v>
      </c>
      <c r="AD39" s="307">
        <v>18</v>
      </c>
      <c r="AE39" s="347">
        <v>10</v>
      </c>
      <c r="AF39" s="348">
        <f t="shared" si="3"/>
        <v>1636.75</v>
      </c>
      <c r="AG39" s="348"/>
      <c r="AH39" s="307"/>
      <c r="AI39" s="315"/>
      <c r="AJ39" s="348">
        <f t="shared" si="4"/>
        <v>0</v>
      </c>
      <c r="AK39" s="349">
        <v>30</v>
      </c>
      <c r="AL39" s="322" t="s">
        <v>310</v>
      </c>
      <c r="AM39" s="365"/>
      <c r="AN39" s="355"/>
      <c r="AO39" s="356"/>
      <c r="AP39" s="356"/>
      <c r="AQ39" s="347">
        <v>5</v>
      </c>
      <c r="AR39" s="348">
        <f t="shared" si="13"/>
        <v>818.375</v>
      </c>
      <c r="AS39" s="347">
        <v>10</v>
      </c>
      <c r="AT39" s="348">
        <f>(M39*AS39/100)</f>
        <v>1636.75</v>
      </c>
      <c r="AU39" s="307">
        <f t="shared" si="14"/>
        <v>5728.625</v>
      </c>
      <c r="AV39" s="307">
        <f t="shared" si="15"/>
        <v>23914.736111111109</v>
      </c>
      <c r="AW39" s="307"/>
      <c r="AX39" s="307">
        <f t="shared" si="5"/>
        <v>0</v>
      </c>
      <c r="AY39" s="349">
        <v>30</v>
      </c>
      <c r="AZ39" s="322" t="s">
        <v>310</v>
      </c>
      <c r="BA39" s="322">
        <v>0.05</v>
      </c>
      <c r="BB39" s="357">
        <f t="shared" si="16"/>
        <v>818.375</v>
      </c>
      <c r="BC39" s="316"/>
      <c r="BD39" s="307">
        <f t="shared" si="17"/>
        <v>818.375</v>
      </c>
      <c r="BE39" s="307">
        <f t="shared" si="18"/>
        <v>24733.111111111109</v>
      </c>
      <c r="BF39" s="307">
        <f t="shared" si="19"/>
        <v>3709.9666666666662</v>
      </c>
      <c r="BG39" s="87">
        <f t="shared" si="20"/>
        <v>28443.077777777777</v>
      </c>
      <c r="BH39" s="358"/>
      <c r="BI39" s="358">
        <f t="shared" si="21"/>
        <v>20</v>
      </c>
      <c r="BJ39" s="359">
        <f t="shared" si="22"/>
        <v>1.1111111111111112</v>
      </c>
      <c r="BK39" s="360">
        <v>1</v>
      </c>
      <c r="BL39" s="174"/>
      <c r="BM39" s="174"/>
    </row>
    <row r="40" spans="1:65" s="162" customFormat="1" ht="15.75">
      <c r="A40" s="349">
        <v>31</v>
      </c>
      <c r="B40" s="322" t="s">
        <v>311</v>
      </c>
      <c r="C40" s="322" t="s">
        <v>317</v>
      </c>
      <c r="D40" s="352">
        <v>10</v>
      </c>
      <c r="E40" s="352"/>
      <c r="F40" s="352" t="s">
        <v>372</v>
      </c>
      <c r="G40" s="352">
        <v>11280</v>
      </c>
      <c r="H40" s="349">
        <v>31</v>
      </c>
      <c r="I40" s="322" t="s">
        <v>311</v>
      </c>
      <c r="J40" s="315"/>
      <c r="K40" s="315">
        <v>0.25</v>
      </c>
      <c r="L40" s="315"/>
      <c r="M40" s="307">
        <f t="shared" si="0"/>
        <v>14100</v>
      </c>
      <c r="N40" s="164">
        <v>18</v>
      </c>
      <c r="O40" s="315"/>
      <c r="P40" s="315"/>
      <c r="Q40" s="315"/>
      <c r="R40" s="315"/>
      <c r="S40" s="307">
        <f t="shared" si="6"/>
        <v>14100</v>
      </c>
      <c r="T40" s="307">
        <f t="shared" si="7"/>
        <v>0</v>
      </c>
      <c r="U40" s="307">
        <f t="shared" si="8"/>
        <v>0</v>
      </c>
      <c r="V40" s="349">
        <v>31</v>
      </c>
      <c r="W40" s="322" t="s">
        <v>311</v>
      </c>
      <c r="X40" s="316">
        <f t="shared" si="23"/>
        <v>14100</v>
      </c>
      <c r="Y40" s="307">
        <f t="shared" si="24"/>
        <v>0</v>
      </c>
      <c r="Z40" s="307">
        <f t="shared" si="25"/>
        <v>0</v>
      </c>
      <c r="AA40" s="307">
        <f t="shared" si="26"/>
        <v>14100</v>
      </c>
      <c r="AB40" s="347">
        <v>5</v>
      </c>
      <c r="AC40" s="348">
        <f t="shared" si="2"/>
        <v>705</v>
      </c>
      <c r="AD40" s="307">
        <v>18</v>
      </c>
      <c r="AE40" s="347">
        <v>5</v>
      </c>
      <c r="AF40" s="348">
        <f t="shared" si="3"/>
        <v>705</v>
      </c>
      <c r="AG40" s="348"/>
      <c r="AH40" s="307"/>
      <c r="AI40" s="315"/>
      <c r="AJ40" s="348"/>
      <c r="AK40" s="349">
        <v>31</v>
      </c>
      <c r="AL40" s="322" t="s">
        <v>311</v>
      </c>
      <c r="AM40" s="382"/>
      <c r="AN40" s="355"/>
      <c r="AO40" s="356"/>
      <c r="AP40" s="356"/>
      <c r="AQ40" s="347"/>
      <c r="AR40" s="348">
        <f t="shared" si="13"/>
        <v>0</v>
      </c>
      <c r="AS40" s="347">
        <v>10</v>
      </c>
      <c r="AT40" s="348">
        <f t="shared" ref="AT40:AT46" si="45">(M40*AS40/100)</f>
        <v>1410</v>
      </c>
      <c r="AU40" s="307">
        <f t="shared" si="14"/>
        <v>2820</v>
      </c>
      <c r="AV40" s="307">
        <f t="shared" si="15"/>
        <v>16920</v>
      </c>
      <c r="AW40" s="307"/>
      <c r="AX40" s="307">
        <f t="shared" si="5"/>
        <v>0</v>
      </c>
      <c r="AY40" s="349">
        <v>31</v>
      </c>
      <c r="AZ40" s="322" t="s">
        <v>311</v>
      </c>
      <c r="BA40" s="363">
        <v>0.04</v>
      </c>
      <c r="BB40" s="357">
        <f t="shared" si="16"/>
        <v>564</v>
      </c>
      <c r="BC40" s="316"/>
      <c r="BD40" s="307">
        <f t="shared" si="17"/>
        <v>564</v>
      </c>
      <c r="BE40" s="307">
        <f t="shared" si="18"/>
        <v>17484</v>
      </c>
      <c r="BF40" s="307">
        <f t="shared" si="19"/>
        <v>2622.6</v>
      </c>
      <c r="BG40" s="87">
        <f t="shared" si="20"/>
        <v>20106.599999999999</v>
      </c>
      <c r="BH40" s="358"/>
      <c r="BI40" s="358">
        <f t="shared" si="21"/>
        <v>18</v>
      </c>
      <c r="BJ40" s="359">
        <f t="shared" si="22"/>
        <v>1</v>
      </c>
      <c r="BK40" s="360">
        <v>1</v>
      </c>
      <c r="BL40" s="174"/>
      <c r="BM40" s="174"/>
    </row>
    <row r="41" spans="1:65" s="162" customFormat="1" ht="15.75">
      <c r="A41" s="349">
        <v>32</v>
      </c>
      <c r="B41" s="322" t="s">
        <v>312</v>
      </c>
      <c r="C41" s="322" t="s">
        <v>232</v>
      </c>
      <c r="D41" s="352">
        <v>53</v>
      </c>
      <c r="E41" s="352"/>
      <c r="F41" s="352" t="s">
        <v>372</v>
      </c>
      <c r="G41" s="352">
        <v>11280</v>
      </c>
      <c r="H41" s="349">
        <v>32</v>
      </c>
      <c r="I41" s="322" t="s">
        <v>312</v>
      </c>
      <c r="J41" s="315"/>
      <c r="K41" s="315">
        <v>0.25</v>
      </c>
      <c r="L41" s="315"/>
      <c r="M41" s="307">
        <f t="shared" si="0"/>
        <v>14100</v>
      </c>
      <c r="N41" s="164">
        <v>21</v>
      </c>
      <c r="O41" s="315"/>
      <c r="P41" s="315"/>
      <c r="Q41" s="315"/>
      <c r="R41" s="315"/>
      <c r="S41" s="307">
        <f t="shared" si="6"/>
        <v>16450</v>
      </c>
      <c r="T41" s="307">
        <f t="shared" si="7"/>
        <v>0</v>
      </c>
      <c r="U41" s="307">
        <f t="shared" si="8"/>
        <v>0</v>
      </c>
      <c r="V41" s="349">
        <v>32</v>
      </c>
      <c r="W41" s="322" t="s">
        <v>312</v>
      </c>
      <c r="X41" s="316">
        <f t="shared" si="23"/>
        <v>16450</v>
      </c>
      <c r="Y41" s="307">
        <f t="shared" si="24"/>
        <v>0</v>
      </c>
      <c r="Z41" s="307">
        <f t="shared" si="25"/>
        <v>0</v>
      </c>
      <c r="AA41" s="307">
        <f t="shared" si="26"/>
        <v>16450</v>
      </c>
      <c r="AB41" s="347">
        <v>10</v>
      </c>
      <c r="AC41" s="348">
        <f t="shared" si="2"/>
        <v>1410</v>
      </c>
      <c r="AD41" s="307">
        <v>18</v>
      </c>
      <c r="AE41" s="347">
        <v>10</v>
      </c>
      <c r="AF41" s="348">
        <f t="shared" si="3"/>
        <v>1410</v>
      </c>
      <c r="AG41" s="348"/>
      <c r="AH41" s="307"/>
      <c r="AI41" s="315"/>
      <c r="AJ41" s="348"/>
      <c r="AK41" s="349">
        <v>32</v>
      </c>
      <c r="AL41" s="322" t="s">
        <v>312</v>
      </c>
      <c r="AM41" s="382"/>
      <c r="AN41" s="355"/>
      <c r="AO41" s="356"/>
      <c r="AP41" s="356"/>
      <c r="AQ41" s="347"/>
      <c r="AR41" s="348">
        <f t="shared" si="13"/>
        <v>0</v>
      </c>
      <c r="AS41" s="347">
        <v>10</v>
      </c>
      <c r="AT41" s="348">
        <f t="shared" si="45"/>
        <v>1410</v>
      </c>
      <c r="AU41" s="307">
        <f t="shared" si="14"/>
        <v>4230</v>
      </c>
      <c r="AV41" s="307">
        <f t="shared" si="15"/>
        <v>20680</v>
      </c>
      <c r="AW41" s="307"/>
      <c r="AX41" s="307">
        <f t="shared" si="5"/>
        <v>0</v>
      </c>
      <c r="AY41" s="349">
        <v>32</v>
      </c>
      <c r="AZ41" s="322" t="s">
        <v>312</v>
      </c>
      <c r="BA41" s="363">
        <v>0.05</v>
      </c>
      <c r="BB41" s="357">
        <f t="shared" si="16"/>
        <v>705</v>
      </c>
      <c r="BC41" s="316"/>
      <c r="BD41" s="307">
        <f t="shared" si="17"/>
        <v>705</v>
      </c>
      <c r="BE41" s="307">
        <f t="shared" si="18"/>
        <v>21385</v>
      </c>
      <c r="BF41" s="307">
        <f t="shared" si="19"/>
        <v>3207.75</v>
      </c>
      <c r="BG41" s="87">
        <f t="shared" si="20"/>
        <v>24592.75</v>
      </c>
      <c r="BH41" s="358"/>
      <c r="BI41" s="358">
        <f t="shared" si="21"/>
        <v>21</v>
      </c>
      <c r="BJ41" s="359">
        <f t="shared" si="22"/>
        <v>1.1666666666666667</v>
      </c>
      <c r="BK41" s="360">
        <v>1</v>
      </c>
      <c r="BL41" s="174"/>
      <c r="BM41" s="174"/>
    </row>
    <row r="42" spans="1:65" s="166" customFormat="1" ht="15.75">
      <c r="A42" s="349">
        <v>33</v>
      </c>
      <c r="B42" s="322" t="s">
        <v>314</v>
      </c>
      <c r="C42" s="322" t="s">
        <v>229</v>
      </c>
      <c r="D42" s="352">
        <v>43</v>
      </c>
      <c r="E42" s="352"/>
      <c r="F42" s="352" t="s">
        <v>372</v>
      </c>
      <c r="G42" s="352">
        <v>11280</v>
      </c>
      <c r="H42" s="349">
        <v>33</v>
      </c>
      <c r="I42" s="322" t="s">
        <v>314</v>
      </c>
      <c r="J42" s="315"/>
      <c r="K42" s="315">
        <v>0.25</v>
      </c>
      <c r="L42" s="315"/>
      <c r="M42" s="307">
        <f t="shared" si="0"/>
        <v>14100</v>
      </c>
      <c r="N42" s="164">
        <v>20</v>
      </c>
      <c r="O42" s="315"/>
      <c r="P42" s="315"/>
      <c r="Q42" s="315"/>
      <c r="R42" s="315"/>
      <c r="S42" s="307">
        <f t="shared" si="6"/>
        <v>15666.666666666666</v>
      </c>
      <c r="T42" s="307">
        <f t="shared" si="7"/>
        <v>0</v>
      </c>
      <c r="U42" s="307">
        <f t="shared" si="8"/>
        <v>0</v>
      </c>
      <c r="V42" s="349">
        <v>33</v>
      </c>
      <c r="W42" s="322" t="s">
        <v>314</v>
      </c>
      <c r="X42" s="316">
        <f t="shared" si="23"/>
        <v>15666.666666666666</v>
      </c>
      <c r="Y42" s="307">
        <f t="shared" si="24"/>
        <v>0</v>
      </c>
      <c r="Z42" s="307">
        <f t="shared" si="25"/>
        <v>0</v>
      </c>
      <c r="AA42" s="307">
        <f t="shared" si="26"/>
        <v>15666.666666666666</v>
      </c>
      <c r="AB42" s="347">
        <v>10</v>
      </c>
      <c r="AC42" s="348">
        <f t="shared" si="2"/>
        <v>1410</v>
      </c>
      <c r="AD42" s="307">
        <v>18</v>
      </c>
      <c r="AE42" s="347">
        <v>10</v>
      </c>
      <c r="AF42" s="348">
        <f t="shared" si="3"/>
        <v>1410</v>
      </c>
      <c r="AG42" s="348"/>
      <c r="AH42" s="307"/>
      <c r="AI42" s="315"/>
      <c r="AJ42" s="348"/>
      <c r="AK42" s="349">
        <v>33</v>
      </c>
      <c r="AL42" s="322" t="s">
        <v>314</v>
      </c>
      <c r="AM42" s="382"/>
      <c r="AN42" s="355"/>
      <c r="AO42" s="356"/>
      <c r="AP42" s="356"/>
      <c r="AQ42" s="347"/>
      <c r="AR42" s="348">
        <f t="shared" si="13"/>
        <v>0</v>
      </c>
      <c r="AS42" s="347">
        <v>10</v>
      </c>
      <c r="AT42" s="348">
        <f t="shared" si="45"/>
        <v>1410</v>
      </c>
      <c r="AU42" s="307">
        <f t="shared" si="14"/>
        <v>4230</v>
      </c>
      <c r="AV42" s="307">
        <f t="shared" si="15"/>
        <v>19896.666666666664</v>
      </c>
      <c r="AW42" s="307"/>
      <c r="AX42" s="307">
        <f t="shared" si="5"/>
        <v>0</v>
      </c>
      <c r="AY42" s="349">
        <v>33</v>
      </c>
      <c r="AZ42" s="322" t="s">
        <v>314</v>
      </c>
      <c r="BA42" s="363">
        <v>0.05</v>
      </c>
      <c r="BB42" s="357">
        <f t="shared" si="16"/>
        <v>705</v>
      </c>
      <c r="BC42" s="316"/>
      <c r="BD42" s="307">
        <f t="shared" si="17"/>
        <v>705</v>
      </c>
      <c r="BE42" s="307">
        <f t="shared" si="18"/>
        <v>20601.666666666664</v>
      </c>
      <c r="BF42" s="307">
        <f t="shared" si="19"/>
        <v>3090.2499999999995</v>
      </c>
      <c r="BG42" s="87">
        <f t="shared" si="20"/>
        <v>23691.916666666664</v>
      </c>
      <c r="BH42" s="358"/>
      <c r="BI42" s="358">
        <f t="shared" si="21"/>
        <v>20</v>
      </c>
      <c r="BJ42" s="359">
        <f t="shared" si="22"/>
        <v>1.1111111111111112</v>
      </c>
      <c r="BK42" s="360">
        <v>1</v>
      </c>
      <c r="BL42" s="245"/>
      <c r="BM42" s="245"/>
    </row>
    <row r="43" spans="1:65" s="166" customFormat="1" ht="15.75">
      <c r="A43" s="349">
        <v>34</v>
      </c>
      <c r="B43" s="322" t="s">
        <v>363</v>
      </c>
      <c r="C43" s="322" t="s">
        <v>229</v>
      </c>
      <c r="D43" s="352">
        <v>18</v>
      </c>
      <c r="E43" s="352"/>
      <c r="F43" s="352" t="s">
        <v>372</v>
      </c>
      <c r="G43" s="352">
        <v>11280</v>
      </c>
      <c r="H43" s="349">
        <v>34</v>
      </c>
      <c r="I43" s="322" t="s">
        <v>363</v>
      </c>
      <c r="J43" s="315"/>
      <c r="K43" s="315">
        <v>0.25</v>
      </c>
      <c r="L43" s="315"/>
      <c r="M43" s="307">
        <f t="shared" si="0"/>
        <v>14100</v>
      </c>
      <c r="N43" s="164">
        <v>19</v>
      </c>
      <c r="O43" s="315"/>
      <c r="P43" s="315"/>
      <c r="Q43" s="315"/>
      <c r="R43" s="315"/>
      <c r="S43" s="307">
        <f t="shared" si="6"/>
        <v>14883.333333333334</v>
      </c>
      <c r="T43" s="307">
        <f t="shared" si="7"/>
        <v>0</v>
      </c>
      <c r="U43" s="307">
        <f t="shared" si="8"/>
        <v>0</v>
      </c>
      <c r="V43" s="349">
        <v>34</v>
      </c>
      <c r="W43" s="322" t="s">
        <v>363</v>
      </c>
      <c r="X43" s="316">
        <f t="shared" si="23"/>
        <v>14883.333333333334</v>
      </c>
      <c r="Y43" s="307">
        <f t="shared" si="24"/>
        <v>0</v>
      </c>
      <c r="Z43" s="307">
        <f t="shared" si="25"/>
        <v>0</v>
      </c>
      <c r="AA43" s="307">
        <f t="shared" si="26"/>
        <v>14883.333333333334</v>
      </c>
      <c r="AB43" s="347">
        <v>5</v>
      </c>
      <c r="AC43" s="348">
        <f t="shared" si="2"/>
        <v>705</v>
      </c>
      <c r="AD43" s="307">
        <v>18</v>
      </c>
      <c r="AE43" s="347">
        <v>5</v>
      </c>
      <c r="AF43" s="348">
        <f t="shared" si="3"/>
        <v>705</v>
      </c>
      <c r="AG43" s="348"/>
      <c r="AH43" s="307"/>
      <c r="AI43" s="315"/>
      <c r="AJ43" s="348">
        <f t="shared" si="4"/>
        <v>0</v>
      </c>
      <c r="AK43" s="349">
        <v>34</v>
      </c>
      <c r="AL43" s="322" t="s">
        <v>363</v>
      </c>
      <c r="AM43" s="382"/>
      <c r="AN43" s="355"/>
      <c r="AO43" s="356"/>
      <c r="AP43" s="356"/>
      <c r="AQ43" s="347"/>
      <c r="AR43" s="348">
        <f t="shared" si="13"/>
        <v>0</v>
      </c>
      <c r="AS43" s="347">
        <v>10</v>
      </c>
      <c r="AT43" s="348">
        <f t="shared" si="45"/>
        <v>1410</v>
      </c>
      <c r="AU43" s="307">
        <f t="shared" si="14"/>
        <v>2820</v>
      </c>
      <c r="AV43" s="307">
        <f t="shared" si="15"/>
        <v>17703.333333333336</v>
      </c>
      <c r="AW43" s="307"/>
      <c r="AX43" s="307">
        <f t="shared" si="5"/>
        <v>0</v>
      </c>
      <c r="AY43" s="349">
        <v>34</v>
      </c>
      <c r="AZ43" s="322" t="s">
        <v>363</v>
      </c>
      <c r="BA43" s="363">
        <v>0.05</v>
      </c>
      <c r="BB43" s="357">
        <f t="shared" si="16"/>
        <v>705</v>
      </c>
      <c r="BC43" s="316"/>
      <c r="BD43" s="307">
        <f t="shared" si="17"/>
        <v>705</v>
      </c>
      <c r="BE43" s="307">
        <f t="shared" si="18"/>
        <v>18408.333333333336</v>
      </c>
      <c r="BF43" s="307">
        <f t="shared" si="19"/>
        <v>2761.2500000000005</v>
      </c>
      <c r="BG43" s="87">
        <f t="shared" si="20"/>
        <v>21169.583333333336</v>
      </c>
      <c r="BH43" s="358"/>
      <c r="BI43" s="358">
        <f t="shared" si="21"/>
        <v>19</v>
      </c>
      <c r="BJ43" s="359">
        <f t="shared" si="22"/>
        <v>1.0555555555555556</v>
      </c>
      <c r="BK43" s="360">
        <v>1</v>
      </c>
      <c r="BL43" s="245"/>
      <c r="BM43" s="245"/>
    </row>
    <row r="44" spans="1:65" s="162" customFormat="1" ht="15.75">
      <c r="A44" s="349">
        <v>35</v>
      </c>
      <c r="B44" s="322" t="s">
        <v>315</v>
      </c>
      <c r="C44" s="322" t="s">
        <v>230</v>
      </c>
      <c r="D44" s="352">
        <v>41</v>
      </c>
      <c r="E44" s="352" t="s">
        <v>365</v>
      </c>
      <c r="F44" s="352" t="s">
        <v>372</v>
      </c>
      <c r="G44" s="352">
        <v>11280</v>
      </c>
      <c r="H44" s="349">
        <v>35</v>
      </c>
      <c r="I44" s="322" t="s">
        <v>315</v>
      </c>
      <c r="J44" s="315"/>
      <c r="K44" s="315">
        <v>0.25</v>
      </c>
      <c r="L44" s="315"/>
      <c r="M44" s="307">
        <f t="shared" si="0"/>
        <v>14100</v>
      </c>
      <c r="N44" s="164">
        <v>20</v>
      </c>
      <c r="O44" s="315"/>
      <c r="P44" s="315"/>
      <c r="Q44" s="315"/>
      <c r="R44" s="315"/>
      <c r="S44" s="307">
        <f t="shared" si="6"/>
        <v>15666.666666666666</v>
      </c>
      <c r="T44" s="307">
        <f t="shared" si="7"/>
        <v>0</v>
      </c>
      <c r="U44" s="307">
        <f t="shared" si="8"/>
        <v>0</v>
      </c>
      <c r="V44" s="349">
        <v>35</v>
      </c>
      <c r="W44" s="322" t="s">
        <v>315</v>
      </c>
      <c r="X44" s="316">
        <f t="shared" si="23"/>
        <v>15666.666666666666</v>
      </c>
      <c r="Y44" s="307">
        <f t="shared" si="24"/>
        <v>0</v>
      </c>
      <c r="Z44" s="307">
        <f t="shared" si="25"/>
        <v>0</v>
      </c>
      <c r="AA44" s="307">
        <f t="shared" si="26"/>
        <v>15666.666666666666</v>
      </c>
      <c r="AB44" s="347">
        <v>10</v>
      </c>
      <c r="AC44" s="348">
        <f t="shared" si="2"/>
        <v>1410</v>
      </c>
      <c r="AD44" s="307">
        <v>18</v>
      </c>
      <c r="AE44" s="347">
        <v>10</v>
      </c>
      <c r="AF44" s="348">
        <f t="shared" si="3"/>
        <v>1410</v>
      </c>
      <c r="AG44" s="348">
        <f t="shared" ref="AG44" si="46">M44*5%</f>
        <v>705</v>
      </c>
      <c r="AH44" s="307"/>
      <c r="AI44" s="315"/>
      <c r="AJ44" s="348">
        <f t="shared" si="4"/>
        <v>0</v>
      </c>
      <c r="AK44" s="349">
        <v>35</v>
      </c>
      <c r="AL44" s="322" t="s">
        <v>315</v>
      </c>
      <c r="AM44" s="383"/>
      <c r="AN44" s="355"/>
      <c r="AO44" s="356"/>
      <c r="AP44" s="356"/>
      <c r="AQ44" s="347"/>
      <c r="AR44" s="348">
        <f t="shared" si="13"/>
        <v>0</v>
      </c>
      <c r="AS44" s="347">
        <v>10</v>
      </c>
      <c r="AT44" s="348">
        <f t="shared" si="45"/>
        <v>1410</v>
      </c>
      <c r="AU44" s="307">
        <f t="shared" si="14"/>
        <v>4935</v>
      </c>
      <c r="AV44" s="307">
        <f t="shared" si="15"/>
        <v>20601.666666666664</v>
      </c>
      <c r="AW44" s="307">
        <v>10</v>
      </c>
      <c r="AX44" s="307">
        <f t="shared" si="5"/>
        <v>2060.1666666666661</v>
      </c>
      <c r="AY44" s="349">
        <v>35</v>
      </c>
      <c r="AZ44" s="322" t="s">
        <v>315</v>
      </c>
      <c r="BA44" s="363">
        <v>0.05</v>
      </c>
      <c r="BB44" s="357">
        <f t="shared" si="16"/>
        <v>705</v>
      </c>
      <c r="BC44" s="316"/>
      <c r="BD44" s="307">
        <f t="shared" si="17"/>
        <v>2765.1666666666661</v>
      </c>
      <c r="BE44" s="307">
        <f t="shared" si="18"/>
        <v>23366.833333333328</v>
      </c>
      <c r="BF44" s="307">
        <f t="shared" si="19"/>
        <v>3505.0249999999992</v>
      </c>
      <c r="BG44" s="87">
        <f t="shared" si="20"/>
        <v>26871.858333333326</v>
      </c>
      <c r="BH44" s="358"/>
      <c r="BI44" s="358">
        <f t="shared" si="21"/>
        <v>20</v>
      </c>
      <c r="BJ44" s="359">
        <f t="shared" si="22"/>
        <v>1.1111111111111112</v>
      </c>
      <c r="BK44" s="360">
        <v>1</v>
      </c>
      <c r="BL44" s="174"/>
      <c r="BM44" s="174"/>
    </row>
    <row r="45" spans="1:65" s="162" customFormat="1" ht="15.75">
      <c r="A45" s="349">
        <v>36</v>
      </c>
      <c r="B45" s="350" t="s">
        <v>316</v>
      </c>
      <c r="C45" s="322" t="s">
        <v>230</v>
      </c>
      <c r="D45" s="351">
        <v>28</v>
      </c>
      <c r="E45" s="351" t="s">
        <v>334</v>
      </c>
      <c r="F45" s="352" t="s">
        <v>438</v>
      </c>
      <c r="G45" s="352">
        <v>13094</v>
      </c>
      <c r="H45" s="349">
        <v>36</v>
      </c>
      <c r="I45" s="350" t="s">
        <v>316</v>
      </c>
      <c r="J45" s="315"/>
      <c r="K45" s="315">
        <v>0.25</v>
      </c>
      <c r="L45" s="315"/>
      <c r="M45" s="307">
        <f t="shared" si="0"/>
        <v>16367.5</v>
      </c>
      <c r="N45" s="164">
        <v>21</v>
      </c>
      <c r="O45" s="315"/>
      <c r="P45" s="315"/>
      <c r="Q45" s="315"/>
      <c r="R45" s="315"/>
      <c r="S45" s="307">
        <f t="shared" si="6"/>
        <v>19095.416666666668</v>
      </c>
      <c r="T45" s="307">
        <f t="shared" si="7"/>
        <v>0</v>
      </c>
      <c r="U45" s="307">
        <f t="shared" si="8"/>
        <v>0</v>
      </c>
      <c r="V45" s="349">
        <v>36</v>
      </c>
      <c r="W45" s="350" t="s">
        <v>316</v>
      </c>
      <c r="X45" s="316">
        <f t="shared" si="23"/>
        <v>19095.416666666668</v>
      </c>
      <c r="Y45" s="307">
        <f t="shared" si="24"/>
        <v>0</v>
      </c>
      <c r="Z45" s="307">
        <f t="shared" si="25"/>
        <v>0</v>
      </c>
      <c r="AA45" s="307">
        <f t="shared" si="26"/>
        <v>19095.416666666668</v>
      </c>
      <c r="AB45" s="347">
        <v>10</v>
      </c>
      <c r="AC45" s="348">
        <f t="shared" si="2"/>
        <v>1636.75</v>
      </c>
      <c r="AD45" s="307">
        <v>18</v>
      </c>
      <c r="AE45" s="347">
        <v>10</v>
      </c>
      <c r="AF45" s="348">
        <f t="shared" si="3"/>
        <v>1636.75</v>
      </c>
      <c r="AG45" s="348"/>
      <c r="AH45" s="307"/>
      <c r="AI45" s="315"/>
      <c r="AJ45" s="348">
        <f t="shared" si="4"/>
        <v>0</v>
      </c>
      <c r="AK45" s="349">
        <v>36</v>
      </c>
      <c r="AL45" s="350" t="s">
        <v>316</v>
      </c>
      <c r="AM45" s="365"/>
      <c r="AN45" s="355"/>
      <c r="AO45" s="356"/>
      <c r="AP45" s="356"/>
      <c r="AQ45" s="347"/>
      <c r="AR45" s="348">
        <f t="shared" si="13"/>
        <v>0</v>
      </c>
      <c r="AS45" s="347">
        <v>10</v>
      </c>
      <c r="AT45" s="348">
        <f t="shared" si="45"/>
        <v>1636.75</v>
      </c>
      <c r="AU45" s="307">
        <f t="shared" si="14"/>
        <v>4910.25</v>
      </c>
      <c r="AV45" s="307">
        <f t="shared" si="15"/>
        <v>24005.666666666668</v>
      </c>
      <c r="AW45" s="307">
        <v>10</v>
      </c>
      <c r="AX45" s="307">
        <f t="shared" si="5"/>
        <v>2400.5666666666671</v>
      </c>
      <c r="AY45" s="349">
        <v>36</v>
      </c>
      <c r="AZ45" s="350" t="s">
        <v>316</v>
      </c>
      <c r="BA45" s="363">
        <v>0.05</v>
      </c>
      <c r="BB45" s="357">
        <f t="shared" si="16"/>
        <v>818.375</v>
      </c>
      <c r="BC45" s="316"/>
      <c r="BD45" s="307">
        <f t="shared" si="17"/>
        <v>3218.9416666666671</v>
      </c>
      <c r="BE45" s="307">
        <f t="shared" si="18"/>
        <v>27224.608333333334</v>
      </c>
      <c r="BF45" s="307">
        <f t="shared" si="19"/>
        <v>4083.6912499999999</v>
      </c>
      <c r="BG45" s="87">
        <f t="shared" si="20"/>
        <v>31308.299583333333</v>
      </c>
      <c r="BH45" s="358"/>
      <c r="BI45" s="358">
        <f t="shared" si="21"/>
        <v>21</v>
      </c>
      <c r="BJ45" s="359">
        <f t="shared" si="22"/>
        <v>1.1666666666666667</v>
      </c>
      <c r="BK45" s="360">
        <v>1</v>
      </c>
      <c r="BL45" s="174"/>
      <c r="BM45" s="174"/>
    </row>
    <row r="46" spans="1:65" s="162" customFormat="1" ht="15.75">
      <c r="A46" s="349">
        <v>37</v>
      </c>
      <c r="B46" s="350" t="s">
        <v>451</v>
      </c>
      <c r="C46" s="322" t="s">
        <v>452</v>
      </c>
      <c r="D46" s="351">
        <v>11</v>
      </c>
      <c r="E46" s="351"/>
      <c r="F46" s="352" t="s">
        <v>372</v>
      </c>
      <c r="G46" s="352">
        <v>11280</v>
      </c>
      <c r="H46" s="349">
        <v>37</v>
      </c>
      <c r="I46" s="350" t="s">
        <v>451</v>
      </c>
      <c r="J46" s="315"/>
      <c r="K46" s="315">
        <v>0.25</v>
      </c>
      <c r="L46" s="315"/>
      <c r="M46" s="307">
        <f t="shared" si="0"/>
        <v>14100</v>
      </c>
      <c r="N46" s="164">
        <v>21</v>
      </c>
      <c r="O46" s="315"/>
      <c r="P46" s="315"/>
      <c r="Q46" s="315"/>
      <c r="R46" s="315"/>
      <c r="S46" s="307">
        <v>16450</v>
      </c>
      <c r="T46" s="307">
        <v>0</v>
      </c>
      <c r="U46" s="307">
        <v>0</v>
      </c>
      <c r="V46" s="349">
        <v>37</v>
      </c>
      <c r="W46" s="350" t="s">
        <v>451</v>
      </c>
      <c r="X46" s="316">
        <f t="shared" si="23"/>
        <v>16450</v>
      </c>
      <c r="Y46" s="307">
        <f t="shared" si="24"/>
        <v>0</v>
      </c>
      <c r="Z46" s="307">
        <f t="shared" si="25"/>
        <v>0</v>
      </c>
      <c r="AA46" s="307">
        <f t="shared" si="26"/>
        <v>16450</v>
      </c>
      <c r="AB46" s="347">
        <v>10</v>
      </c>
      <c r="AC46" s="348">
        <f t="shared" ref="AC46" si="47">M46*AB46/100</f>
        <v>1410</v>
      </c>
      <c r="AD46" s="307">
        <v>18</v>
      </c>
      <c r="AE46" s="347">
        <v>10</v>
      </c>
      <c r="AF46" s="348">
        <f t="shared" si="3"/>
        <v>1410</v>
      </c>
      <c r="AG46" s="348"/>
      <c r="AH46" s="307"/>
      <c r="AI46" s="315"/>
      <c r="AJ46" s="348"/>
      <c r="AK46" s="349">
        <v>37</v>
      </c>
      <c r="AL46" s="350" t="s">
        <v>451</v>
      </c>
      <c r="AM46" s="365"/>
      <c r="AN46" s="355"/>
      <c r="AO46" s="356"/>
      <c r="AP46" s="356"/>
      <c r="AQ46" s="347"/>
      <c r="AR46" s="348"/>
      <c r="AS46" s="347">
        <v>10</v>
      </c>
      <c r="AT46" s="348">
        <f t="shared" si="45"/>
        <v>1410</v>
      </c>
      <c r="AU46" s="307">
        <f t="shared" si="14"/>
        <v>4230</v>
      </c>
      <c r="AV46" s="307">
        <f t="shared" si="15"/>
        <v>20680</v>
      </c>
      <c r="AW46" s="307"/>
      <c r="AX46" s="307"/>
      <c r="AY46" s="349">
        <v>37</v>
      </c>
      <c r="AZ46" s="350" t="s">
        <v>451</v>
      </c>
      <c r="BA46" s="363">
        <v>0.04</v>
      </c>
      <c r="BB46" s="357">
        <f t="shared" si="16"/>
        <v>564</v>
      </c>
      <c r="BC46" s="316"/>
      <c r="BD46" s="307">
        <f t="shared" si="17"/>
        <v>564</v>
      </c>
      <c r="BE46" s="307">
        <f t="shared" si="18"/>
        <v>21244</v>
      </c>
      <c r="BF46" s="307">
        <f t="shared" si="19"/>
        <v>3186.6</v>
      </c>
      <c r="BG46" s="87">
        <f t="shared" si="20"/>
        <v>24430.6</v>
      </c>
      <c r="BH46" s="358"/>
      <c r="BI46" s="358">
        <f t="shared" si="21"/>
        <v>21</v>
      </c>
      <c r="BJ46" s="359">
        <f t="shared" si="22"/>
        <v>1.1666666666666667</v>
      </c>
      <c r="BK46" s="360">
        <v>1</v>
      </c>
      <c r="BL46" s="174"/>
      <c r="BM46" s="174"/>
    </row>
    <row r="47" spans="1:65" s="162" customFormat="1" ht="15.75">
      <c r="A47" s="349">
        <v>38</v>
      </c>
      <c r="B47" s="322" t="s">
        <v>321</v>
      </c>
      <c r="C47" s="322" t="s">
        <v>362</v>
      </c>
      <c r="D47" s="352">
        <v>45</v>
      </c>
      <c r="E47" s="352"/>
      <c r="F47" s="352" t="s">
        <v>372</v>
      </c>
      <c r="G47" s="352">
        <v>11280</v>
      </c>
      <c r="H47" s="349">
        <v>38</v>
      </c>
      <c r="I47" s="322" t="s">
        <v>321</v>
      </c>
      <c r="J47" s="315"/>
      <c r="K47" s="315">
        <v>0.25</v>
      </c>
      <c r="L47" s="315"/>
      <c r="M47" s="307">
        <f t="shared" si="0"/>
        <v>14100</v>
      </c>
      <c r="N47" s="164">
        <v>6</v>
      </c>
      <c r="O47" s="164">
        <v>8</v>
      </c>
      <c r="P47" s="315"/>
      <c r="Q47" s="315"/>
      <c r="R47" s="315"/>
      <c r="S47" s="307">
        <f t="shared" si="6"/>
        <v>4700</v>
      </c>
      <c r="T47" s="307">
        <f t="shared" si="7"/>
        <v>6266.666666666667</v>
      </c>
      <c r="U47" s="307">
        <f t="shared" si="8"/>
        <v>0</v>
      </c>
      <c r="V47" s="349">
        <v>38</v>
      </c>
      <c r="W47" s="322" t="s">
        <v>321</v>
      </c>
      <c r="X47" s="316">
        <f t="shared" si="23"/>
        <v>10966.666666666668</v>
      </c>
      <c r="Y47" s="307">
        <f t="shared" si="24"/>
        <v>0</v>
      </c>
      <c r="Z47" s="307">
        <f t="shared" si="25"/>
        <v>0</v>
      </c>
      <c r="AA47" s="307">
        <f t="shared" si="26"/>
        <v>10966.666666666668</v>
      </c>
      <c r="AB47" s="347"/>
      <c r="AC47" s="348">
        <f t="shared" si="2"/>
        <v>0</v>
      </c>
      <c r="AD47" s="307"/>
      <c r="AE47" s="347"/>
      <c r="AF47" s="348">
        <f t="shared" si="3"/>
        <v>0</v>
      </c>
      <c r="AG47" s="348">
        <f t="shared" ref="AG47" si="48">M47*5%</f>
        <v>705</v>
      </c>
      <c r="AH47" s="307"/>
      <c r="AI47" s="315"/>
      <c r="AJ47" s="348">
        <f t="shared" si="4"/>
        <v>0</v>
      </c>
      <c r="AK47" s="349">
        <v>38</v>
      </c>
      <c r="AL47" s="322" t="s">
        <v>321</v>
      </c>
      <c r="AM47" s="365"/>
      <c r="AN47" s="355"/>
      <c r="AO47" s="356"/>
      <c r="AP47" s="356"/>
      <c r="AQ47" s="347"/>
      <c r="AR47" s="348">
        <f t="shared" si="13"/>
        <v>0</v>
      </c>
      <c r="AS47" s="347"/>
      <c r="AT47" s="356"/>
      <c r="AU47" s="307">
        <f t="shared" si="14"/>
        <v>705</v>
      </c>
      <c r="AV47" s="307">
        <f t="shared" si="15"/>
        <v>11671.666666666668</v>
      </c>
      <c r="AW47" s="307">
        <v>10</v>
      </c>
      <c r="AX47" s="307">
        <f t="shared" si="5"/>
        <v>1167.166666666667</v>
      </c>
      <c r="AY47" s="349">
        <v>38</v>
      </c>
      <c r="AZ47" s="322" t="s">
        <v>321</v>
      </c>
      <c r="BA47" s="363">
        <v>0.05</v>
      </c>
      <c r="BB47" s="357">
        <f>M47*BA47*BI47/18</f>
        <v>548.33333333333337</v>
      </c>
      <c r="BC47" s="316"/>
      <c r="BD47" s="307">
        <f t="shared" si="17"/>
        <v>1715.5000000000005</v>
      </c>
      <c r="BE47" s="307">
        <f t="shared" si="18"/>
        <v>13387.166666666668</v>
      </c>
      <c r="BF47" s="307">
        <f t="shared" si="19"/>
        <v>2008.075</v>
      </c>
      <c r="BG47" s="87">
        <f t="shared" si="20"/>
        <v>15395.241666666669</v>
      </c>
      <c r="BH47" s="358"/>
      <c r="BI47" s="358">
        <f t="shared" si="21"/>
        <v>14</v>
      </c>
      <c r="BJ47" s="359">
        <f t="shared" si="22"/>
        <v>0.77777777777777779</v>
      </c>
      <c r="BK47" s="360">
        <v>0.78</v>
      </c>
      <c r="BL47" s="174"/>
      <c r="BM47" s="174"/>
    </row>
    <row r="48" spans="1:65" s="162" customFormat="1" ht="15.75">
      <c r="A48" s="349">
        <v>39</v>
      </c>
      <c r="B48" s="322" t="s">
        <v>322</v>
      </c>
      <c r="C48" s="322" t="s">
        <v>234</v>
      </c>
      <c r="D48" s="352">
        <v>33</v>
      </c>
      <c r="E48" s="352"/>
      <c r="F48" s="352" t="s">
        <v>372</v>
      </c>
      <c r="G48" s="352">
        <v>11280</v>
      </c>
      <c r="H48" s="349">
        <v>39</v>
      </c>
      <c r="I48" s="322" t="s">
        <v>322</v>
      </c>
      <c r="J48" s="315"/>
      <c r="K48" s="315">
        <v>0.25</v>
      </c>
      <c r="L48" s="315"/>
      <c r="M48" s="307">
        <f t="shared" si="0"/>
        <v>14100</v>
      </c>
      <c r="N48" s="315"/>
      <c r="O48" s="164">
        <v>9</v>
      </c>
      <c r="P48" s="315"/>
      <c r="Q48" s="315"/>
      <c r="R48" s="315"/>
      <c r="S48" s="307">
        <f t="shared" si="6"/>
        <v>0</v>
      </c>
      <c r="T48" s="307">
        <f t="shared" si="7"/>
        <v>7050</v>
      </c>
      <c r="U48" s="307">
        <f t="shared" si="8"/>
        <v>0</v>
      </c>
      <c r="V48" s="349">
        <v>39</v>
      </c>
      <c r="W48" s="322" t="s">
        <v>322</v>
      </c>
      <c r="X48" s="316">
        <f t="shared" si="23"/>
        <v>7050</v>
      </c>
      <c r="Y48" s="307">
        <f t="shared" si="24"/>
        <v>0</v>
      </c>
      <c r="Z48" s="307">
        <f t="shared" si="25"/>
        <v>0</v>
      </c>
      <c r="AA48" s="307">
        <f t="shared" si="26"/>
        <v>7050</v>
      </c>
      <c r="AB48" s="347"/>
      <c r="AC48" s="348">
        <f t="shared" si="2"/>
        <v>0</v>
      </c>
      <c r="AD48" s="307"/>
      <c r="AE48" s="347"/>
      <c r="AF48" s="348">
        <f t="shared" si="3"/>
        <v>0</v>
      </c>
      <c r="AG48" s="348"/>
      <c r="AH48" s="307"/>
      <c r="AI48" s="315"/>
      <c r="AJ48" s="348"/>
      <c r="AK48" s="349">
        <v>39</v>
      </c>
      <c r="AL48" s="322" t="s">
        <v>322</v>
      </c>
      <c r="AM48" s="365"/>
      <c r="AN48" s="355"/>
      <c r="AO48" s="356"/>
      <c r="AP48" s="356"/>
      <c r="AQ48" s="347"/>
      <c r="AR48" s="348">
        <f t="shared" si="13"/>
        <v>0</v>
      </c>
      <c r="AS48" s="347"/>
      <c r="AT48" s="356"/>
      <c r="AU48" s="307">
        <f t="shared" si="14"/>
        <v>0</v>
      </c>
      <c r="AV48" s="307">
        <f t="shared" si="15"/>
        <v>7050</v>
      </c>
      <c r="AW48" s="307">
        <v>10</v>
      </c>
      <c r="AX48" s="307">
        <f t="shared" si="5"/>
        <v>705</v>
      </c>
      <c r="AY48" s="349">
        <v>39</v>
      </c>
      <c r="AZ48" s="322" t="s">
        <v>322</v>
      </c>
      <c r="BA48" s="363">
        <v>0.05</v>
      </c>
      <c r="BB48" s="357">
        <f t="shared" ref="BB48:BB53" si="49">M48*BA48*BI48/18</f>
        <v>352.5</v>
      </c>
      <c r="BC48" s="316"/>
      <c r="BD48" s="307">
        <f t="shared" si="17"/>
        <v>1057.5</v>
      </c>
      <c r="BE48" s="307">
        <f t="shared" si="18"/>
        <v>8107.5</v>
      </c>
      <c r="BF48" s="307">
        <f t="shared" si="19"/>
        <v>1216.125</v>
      </c>
      <c r="BG48" s="87">
        <f t="shared" si="20"/>
        <v>9323.625</v>
      </c>
      <c r="BH48" s="358"/>
      <c r="BI48" s="358">
        <f t="shared" si="21"/>
        <v>9</v>
      </c>
      <c r="BJ48" s="359">
        <f t="shared" si="22"/>
        <v>0.5</v>
      </c>
      <c r="BK48" s="360">
        <v>0.5</v>
      </c>
      <c r="BL48" s="174"/>
      <c r="BM48" s="174"/>
    </row>
    <row r="49" spans="1:65" s="162" customFormat="1" ht="15.75">
      <c r="A49" s="349">
        <v>40</v>
      </c>
      <c r="B49" s="322" t="s">
        <v>323</v>
      </c>
      <c r="C49" s="322" t="s">
        <v>326</v>
      </c>
      <c r="D49" s="352">
        <v>9</v>
      </c>
      <c r="E49" s="352"/>
      <c r="F49" s="352" t="s">
        <v>372</v>
      </c>
      <c r="G49" s="352">
        <v>11280</v>
      </c>
      <c r="H49" s="349">
        <v>40</v>
      </c>
      <c r="I49" s="322" t="s">
        <v>323</v>
      </c>
      <c r="J49" s="315"/>
      <c r="K49" s="315">
        <v>0.25</v>
      </c>
      <c r="L49" s="315"/>
      <c r="M49" s="307">
        <f t="shared" si="0"/>
        <v>14100</v>
      </c>
      <c r="N49" s="315"/>
      <c r="O49" s="164">
        <v>7</v>
      </c>
      <c r="P49" s="315"/>
      <c r="Q49" s="315"/>
      <c r="R49" s="315"/>
      <c r="S49" s="307">
        <f t="shared" si="6"/>
        <v>0</v>
      </c>
      <c r="T49" s="307">
        <f t="shared" si="7"/>
        <v>5483.333333333333</v>
      </c>
      <c r="U49" s="307">
        <f t="shared" si="8"/>
        <v>0</v>
      </c>
      <c r="V49" s="349">
        <v>40</v>
      </c>
      <c r="W49" s="322" t="s">
        <v>323</v>
      </c>
      <c r="X49" s="316">
        <f t="shared" si="23"/>
        <v>5483.333333333333</v>
      </c>
      <c r="Y49" s="307">
        <f t="shared" si="24"/>
        <v>0</v>
      </c>
      <c r="Z49" s="307">
        <f t="shared" si="25"/>
        <v>0</v>
      </c>
      <c r="AA49" s="307">
        <f t="shared" si="26"/>
        <v>5483.333333333333</v>
      </c>
      <c r="AB49" s="347"/>
      <c r="AC49" s="348">
        <f t="shared" si="2"/>
        <v>0</v>
      </c>
      <c r="AD49" s="307"/>
      <c r="AE49" s="347"/>
      <c r="AF49" s="348">
        <f t="shared" si="3"/>
        <v>0</v>
      </c>
      <c r="AG49" s="348"/>
      <c r="AH49" s="307"/>
      <c r="AI49" s="315"/>
      <c r="AJ49" s="348"/>
      <c r="AK49" s="349">
        <v>40</v>
      </c>
      <c r="AL49" s="322" t="s">
        <v>323</v>
      </c>
      <c r="AM49" s="365"/>
      <c r="AN49" s="355"/>
      <c r="AO49" s="356"/>
      <c r="AP49" s="356"/>
      <c r="AQ49" s="347"/>
      <c r="AR49" s="348">
        <f t="shared" si="13"/>
        <v>0</v>
      </c>
      <c r="AS49" s="347"/>
      <c r="AT49" s="356"/>
      <c r="AU49" s="307">
        <f t="shared" si="14"/>
        <v>0</v>
      </c>
      <c r="AV49" s="307">
        <f t="shared" si="15"/>
        <v>5483.333333333333</v>
      </c>
      <c r="AW49" s="307"/>
      <c r="AX49" s="307">
        <f t="shared" si="5"/>
        <v>0</v>
      </c>
      <c r="AY49" s="349">
        <v>40</v>
      </c>
      <c r="AZ49" s="322" t="s">
        <v>323</v>
      </c>
      <c r="BA49" s="363">
        <v>0.03</v>
      </c>
      <c r="BB49" s="357">
        <f t="shared" si="49"/>
        <v>164.5</v>
      </c>
      <c r="BC49" s="316"/>
      <c r="BD49" s="307">
        <f t="shared" si="17"/>
        <v>164.5</v>
      </c>
      <c r="BE49" s="307">
        <f t="shared" si="18"/>
        <v>5647.833333333333</v>
      </c>
      <c r="BF49" s="307">
        <f t="shared" si="19"/>
        <v>847.17499999999995</v>
      </c>
      <c r="BG49" s="87">
        <f t="shared" si="20"/>
        <v>6495.0083333333332</v>
      </c>
      <c r="BH49" s="358"/>
      <c r="BI49" s="358">
        <f t="shared" si="21"/>
        <v>7</v>
      </c>
      <c r="BJ49" s="359">
        <f t="shared" si="22"/>
        <v>0.3888888888888889</v>
      </c>
      <c r="BK49" s="360">
        <v>0.39</v>
      </c>
      <c r="BL49" s="174"/>
      <c r="BM49" s="174"/>
    </row>
    <row r="50" spans="1:65" s="166" customFormat="1" ht="15.75">
      <c r="A50" s="349">
        <v>41</v>
      </c>
      <c r="B50" s="322" t="s">
        <v>327</v>
      </c>
      <c r="C50" s="322" t="s">
        <v>326</v>
      </c>
      <c r="D50" s="352">
        <v>18</v>
      </c>
      <c r="E50" s="352"/>
      <c r="F50" s="352" t="s">
        <v>372</v>
      </c>
      <c r="G50" s="352">
        <v>11280</v>
      </c>
      <c r="H50" s="349">
        <v>41</v>
      </c>
      <c r="I50" s="322" t="s">
        <v>327</v>
      </c>
      <c r="J50" s="315"/>
      <c r="K50" s="315">
        <v>0.25</v>
      </c>
      <c r="L50" s="315"/>
      <c r="M50" s="307">
        <f t="shared" si="0"/>
        <v>14100</v>
      </c>
      <c r="N50" s="315"/>
      <c r="O50" s="164">
        <v>7</v>
      </c>
      <c r="P50" s="164">
        <v>1</v>
      </c>
      <c r="Q50" s="315"/>
      <c r="R50" s="315"/>
      <c r="S50" s="307">
        <f t="shared" si="6"/>
        <v>0</v>
      </c>
      <c r="T50" s="307">
        <f t="shared" si="7"/>
        <v>5483.333333333333</v>
      </c>
      <c r="U50" s="307">
        <f t="shared" si="8"/>
        <v>783.33333333333337</v>
      </c>
      <c r="V50" s="349">
        <v>41</v>
      </c>
      <c r="W50" s="322" t="s">
        <v>327</v>
      </c>
      <c r="X50" s="316">
        <f t="shared" si="23"/>
        <v>6266.6666666666661</v>
      </c>
      <c r="Y50" s="307">
        <f t="shared" si="24"/>
        <v>0</v>
      </c>
      <c r="Z50" s="307">
        <f t="shared" si="25"/>
        <v>0</v>
      </c>
      <c r="AA50" s="307">
        <f t="shared" si="26"/>
        <v>6266.6666666666661</v>
      </c>
      <c r="AB50" s="347"/>
      <c r="AC50" s="348">
        <f t="shared" si="2"/>
        <v>0</v>
      </c>
      <c r="AD50" s="307"/>
      <c r="AE50" s="347"/>
      <c r="AF50" s="348">
        <f t="shared" si="3"/>
        <v>0</v>
      </c>
      <c r="AG50" s="348">
        <f t="shared" ref="AG50" si="50">M50*5%</f>
        <v>705</v>
      </c>
      <c r="AH50" s="307"/>
      <c r="AI50" s="307">
        <v>19</v>
      </c>
      <c r="AJ50" s="348">
        <f>M50*AI50/100</f>
        <v>2679</v>
      </c>
      <c r="AK50" s="349">
        <v>41</v>
      </c>
      <c r="AL50" s="322" t="s">
        <v>327</v>
      </c>
      <c r="AM50" s="365"/>
      <c r="AN50" s="355"/>
      <c r="AO50" s="356"/>
      <c r="AP50" s="356"/>
      <c r="AQ50" s="347"/>
      <c r="AR50" s="348">
        <f t="shared" si="13"/>
        <v>0</v>
      </c>
      <c r="AS50" s="347"/>
      <c r="AT50" s="356"/>
      <c r="AU50" s="307">
        <f t="shared" si="14"/>
        <v>3384</v>
      </c>
      <c r="AV50" s="307">
        <f t="shared" si="15"/>
        <v>9650.6666666666661</v>
      </c>
      <c r="AW50" s="307"/>
      <c r="AX50" s="307">
        <f t="shared" si="5"/>
        <v>0</v>
      </c>
      <c r="AY50" s="349">
        <v>41</v>
      </c>
      <c r="AZ50" s="322" t="s">
        <v>327</v>
      </c>
      <c r="BA50" s="363">
        <v>0.05</v>
      </c>
      <c r="BB50" s="357">
        <f t="shared" si="49"/>
        <v>313.33333333333331</v>
      </c>
      <c r="BC50" s="316"/>
      <c r="BD50" s="307">
        <f t="shared" si="17"/>
        <v>313.33333333333331</v>
      </c>
      <c r="BE50" s="307">
        <f t="shared" si="18"/>
        <v>9964</v>
      </c>
      <c r="BF50" s="307">
        <f t="shared" si="19"/>
        <v>1494.6</v>
      </c>
      <c r="BG50" s="87">
        <f t="shared" si="20"/>
        <v>11458.6</v>
      </c>
      <c r="BH50" s="358"/>
      <c r="BI50" s="358">
        <f t="shared" si="21"/>
        <v>8</v>
      </c>
      <c r="BJ50" s="359">
        <f t="shared" si="22"/>
        <v>0.44444444444444442</v>
      </c>
      <c r="BK50" s="360">
        <v>0.44</v>
      </c>
      <c r="BL50" s="245"/>
      <c r="BM50" s="245"/>
    </row>
    <row r="51" spans="1:65" s="162" customFormat="1" ht="15.75">
      <c r="A51" s="349">
        <v>42</v>
      </c>
      <c r="B51" s="322" t="s">
        <v>336</v>
      </c>
      <c r="C51" s="322" t="s">
        <v>337</v>
      </c>
      <c r="D51" s="352">
        <v>32</v>
      </c>
      <c r="E51" s="352"/>
      <c r="F51" s="352" t="s">
        <v>372</v>
      </c>
      <c r="G51" s="352">
        <v>11280</v>
      </c>
      <c r="H51" s="349">
        <v>42</v>
      </c>
      <c r="I51" s="322" t="s">
        <v>336</v>
      </c>
      <c r="J51" s="315"/>
      <c r="K51" s="315">
        <v>0.25</v>
      </c>
      <c r="L51" s="315"/>
      <c r="M51" s="307">
        <f t="shared" si="0"/>
        <v>14100</v>
      </c>
      <c r="N51" s="315"/>
      <c r="O51" s="315"/>
      <c r="P51" s="164">
        <v>1</v>
      </c>
      <c r="Q51" s="315">
        <v>1</v>
      </c>
      <c r="R51" s="315"/>
      <c r="S51" s="307">
        <f t="shared" si="6"/>
        <v>0</v>
      </c>
      <c r="T51" s="307">
        <f t="shared" si="7"/>
        <v>0</v>
      </c>
      <c r="U51" s="307">
        <f t="shared" si="8"/>
        <v>783.33333333333337</v>
      </c>
      <c r="V51" s="349">
        <v>42</v>
      </c>
      <c r="W51" s="322" t="s">
        <v>336</v>
      </c>
      <c r="X51" s="316">
        <f t="shared" si="23"/>
        <v>783.33333333333337</v>
      </c>
      <c r="Y51" s="307">
        <f t="shared" si="24"/>
        <v>783.33333333333337</v>
      </c>
      <c r="Z51" s="307">
        <f t="shared" si="25"/>
        <v>0</v>
      </c>
      <c r="AA51" s="307">
        <f t="shared" si="26"/>
        <v>1566.6666666666667</v>
      </c>
      <c r="AB51" s="347"/>
      <c r="AC51" s="348">
        <f t="shared" si="2"/>
        <v>0</v>
      </c>
      <c r="AD51" s="307"/>
      <c r="AE51" s="347"/>
      <c r="AF51" s="348">
        <f t="shared" si="3"/>
        <v>0</v>
      </c>
      <c r="AG51" s="348"/>
      <c r="AH51" s="307"/>
      <c r="AI51" s="315"/>
      <c r="AJ51" s="348"/>
      <c r="AK51" s="349">
        <v>42</v>
      </c>
      <c r="AL51" s="322" t="s">
        <v>336</v>
      </c>
      <c r="AM51" s="365"/>
      <c r="AN51" s="355"/>
      <c r="AO51" s="356"/>
      <c r="AP51" s="356"/>
      <c r="AQ51" s="347"/>
      <c r="AR51" s="348">
        <f t="shared" si="13"/>
        <v>0</v>
      </c>
      <c r="AS51" s="347"/>
      <c r="AT51" s="356"/>
      <c r="AU51" s="307">
        <f t="shared" si="14"/>
        <v>0</v>
      </c>
      <c r="AV51" s="307">
        <f t="shared" si="15"/>
        <v>1566.6666666666667</v>
      </c>
      <c r="AW51" s="307"/>
      <c r="AX51" s="307">
        <f t="shared" si="5"/>
        <v>0</v>
      </c>
      <c r="AY51" s="349">
        <v>42</v>
      </c>
      <c r="AZ51" s="322" t="s">
        <v>336</v>
      </c>
      <c r="BA51" s="363">
        <v>0.05</v>
      </c>
      <c r="BB51" s="357">
        <f t="shared" si="49"/>
        <v>78.333333333333329</v>
      </c>
      <c r="BC51" s="316"/>
      <c r="BD51" s="307">
        <f t="shared" si="17"/>
        <v>78.333333333333329</v>
      </c>
      <c r="BE51" s="307">
        <f t="shared" si="18"/>
        <v>1645</v>
      </c>
      <c r="BF51" s="307">
        <f t="shared" si="19"/>
        <v>246.75</v>
      </c>
      <c r="BG51" s="87">
        <f t="shared" si="20"/>
        <v>1891.75</v>
      </c>
      <c r="BH51" s="358"/>
      <c r="BI51" s="358">
        <f t="shared" si="21"/>
        <v>2</v>
      </c>
      <c r="BJ51" s="359">
        <f t="shared" si="22"/>
        <v>0.1111111111111111</v>
      </c>
      <c r="BK51" s="360">
        <v>0.11</v>
      </c>
      <c r="BL51" s="174"/>
      <c r="BM51" s="174"/>
    </row>
    <row r="52" spans="1:65" s="166" customFormat="1" ht="15.75">
      <c r="A52" s="349">
        <v>43</v>
      </c>
      <c r="B52" s="322" t="s">
        <v>344</v>
      </c>
      <c r="C52" s="322" t="s">
        <v>364</v>
      </c>
      <c r="D52" s="352">
        <v>12</v>
      </c>
      <c r="E52" s="352"/>
      <c r="F52" s="352" t="s">
        <v>372</v>
      </c>
      <c r="G52" s="352">
        <v>11280</v>
      </c>
      <c r="H52" s="349">
        <v>43</v>
      </c>
      <c r="I52" s="322" t="s">
        <v>344</v>
      </c>
      <c r="J52" s="315"/>
      <c r="K52" s="315">
        <v>0.25</v>
      </c>
      <c r="L52" s="315"/>
      <c r="M52" s="307">
        <f t="shared" si="0"/>
        <v>14100</v>
      </c>
      <c r="N52" s="315"/>
      <c r="O52" s="315"/>
      <c r="P52" s="315"/>
      <c r="Q52" s="315"/>
      <c r="R52" s="315"/>
      <c r="S52" s="307">
        <f t="shared" si="6"/>
        <v>0</v>
      </c>
      <c r="T52" s="307">
        <f t="shared" si="7"/>
        <v>0</v>
      </c>
      <c r="U52" s="307">
        <f t="shared" si="8"/>
        <v>0</v>
      </c>
      <c r="V52" s="349">
        <v>43</v>
      </c>
      <c r="W52" s="322" t="s">
        <v>344</v>
      </c>
      <c r="X52" s="316">
        <f t="shared" si="23"/>
        <v>0</v>
      </c>
      <c r="Y52" s="307">
        <f t="shared" si="24"/>
        <v>0</v>
      </c>
      <c r="Z52" s="307">
        <f t="shared" si="25"/>
        <v>0</v>
      </c>
      <c r="AA52" s="307">
        <f t="shared" si="26"/>
        <v>0</v>
      </c>
      <c r="AB52" s="347"/>
      <c r="AC52" s="348">
        <f t="shared" si="2"/>
        <v>0</v>
      </c>
      <c r="AD52" s="307"/>
      <c r="AE52" s="347"/>
      <c r="AF52" s="348">
        <f t="shared" si="3"/>
        <v>0</v>
      </c>
      <c r="AG52" s="348"/>
      <c r="AH52" s="307"/>
      <c r="AI52" s="315"/>
      <c r="AJ52" s="348"/>
      <c r="AK52" s="349">
        <v>43</v>
      </c>
      <c r="AL52" s="322" t="s">
        <v>344</v>
      </c>
      <c r="AM52" s="365"/>
      <c r="AN52" s="355"/>
      <c r="AO52" s="356"/>
      <c r="AP52" s="356"/>
      <c r="AQ52" s="347"/>
      <c r="AR52" s="348">
        <f t="shared" si="13"/>
        <v>0</v>
      </c>
      <c r="AS52" s="347"/>
      <c r="AT52" s="356"/>
      <c r="AU52" s="307">
        <f t="shared" si="14"/>
        <v>0</v>
      </c>
      <c r="AV52" s="307">
        <f t="shared" si="15"/>
        <v>0</v>
      </c>
      <c r="AW52" s="307"/>
      <c r="AX52" s="307">
        <f t="shared" si="5"/>
        <v>0</v>
      </c>
      <c r="AY52" s="349">
        <v>43</v>
      </c>
      <c r="AZ52" s="322" t="s">
        <v>344</v>
      </c>
      <c r="BA52" s="363">
        <v>0.04</v>
      </c>
      <c r="BB52" s="357">
        <f t="shared" si="49"/>
        <v>0</v>
      </c>
      <c r="BC52" s="316"/>
      <c r="BD52" s="307">
        <f t="shared" si="17"/>
        <v>0</v>
      </c>
      <c r="BE52" s="307">
        <f t="shared" si="18"/>
        <v>0</v>
      </c>
      <c r="BF52" s="307">
        <f t="shared" si="19"/>
        <v>0</v>
      </c>
      <c r="BG52" s="87">
        <f t="shared" si="20"/>
        <v>0</v>
      </c>
      <c r="BH52" s="358"/>
      <c r="BI52" s="358">
        <f t="shared" si="21"/>
        <v>0</v>
      </c>
      <c r="BJ52" s="359">
        <f t="shared" si="22"/>
        <v>0</v>
      </c>
      <c r="BK52" s="360">
        <v>0</v>
      </c>
      <c r="BL52" s="245"/>
      <c r="BM52" s="245"/>
    </row>
    <row r="53" spans="1:65" s="166" customFormat="1" ht="15.75">
      <c r="A53" s="349">
        <v>44</v>
      </c>
      <c r="B53" s="322" t="s">
        <v>330</v>
      </c>
      <c r="C53" s="322"/>
      <c r="D53" s="352">
        <v>22</v>
      </c>
      <c r="E53" s="352"/>
      <c r="F53" s="352" t="s">
        <v>372</v>
      </c>
      <c r="G53" s="352">
        <v>11280</v>
      </c>
      <c r="H53" s="349">
        <v>44</v>
      </c>
      <c r="I53" s="322" t="s">
        <v>330</v>
      </c>
      <c r="J53" s="315"/>
      <c r="K53" s="315">
        <v>0.25</v>
      </c>
      <c r="L53" s="315"/>
      <c r="M53" s="307">
        <f t="shared" si="0"/>
        <v>14100</v>
      </c>
      <c r="N53" s="315"/>
      <c r="O53" s="315"/>
      <c r="P53" s="164">
        <v>1</v>
      </c>
      <c r="Q53" s="315"/>
      <c r="R53" s="315"/>
      <c r="S53" s="307">
        <f t="shared" ref="S53" si="51">M53*N53/18</f>
        <v>0</v>
      </c>
      <c r="T53" s="307">
        <f t="shared" ref="T53" si="52">M53*O53/18</f>
        <v>0</v>
      </c>
      <c r="U53" s="307">
        <f t="shared" ref="U53" si="53">M53*P53/18</f>
        <v>783.33333333333337</v>
      </c>
      <c r="V53" s="349">
        <v>44</v>
      </c>
      <c r="W53" s="322" t="s">
        <v>330</v>
      </c>
      <c r="X53" s="316">
        <f t="shared" si="23"/>
        <v>783.33333333333337</v>
      </c>
      <c r="Y53" s="307">
        <f t="shared" si="24"/>
        <v>0</v>
      </c>
      <c r="Z53" s="307">
        <f t="shared" si="25"/>
        <v>0</v>
      </c>
      <c r="AA53" s="307">
        <f t="shared" si="26"/>
        <v>783.33333333333337</v>
      </c>
      <c r="AB53" s="347">
        <v>13</v>
      </c>
      <c r="AC53" s="348">
        <f t="shared" si="2"/>
        <v>1833</v>
      </c>
      <c r="AD53" s="307"/>
      <c r="AE53" s="347"/>
      <c r="AF53" s="348">
        <f t="shared" ref="AF53:AF54" si="54">(M53*AD53/18)*AE53/100</f>
        <v>0</v>
      </c>
      <c r="AG53" s="348"/>
      <c r="AH53" s="307"/>
      <c r="AI53" s="315"/>
      <c r="AJ53" s="348">
        <f t="shared" ref="AJ53" si="55">M53*AI53/100</f>
        <v>0</v>
      </c>
      <c r="AK53" s="349">
        <v>44</v>
      </c>
      <c r="AL53" s="322" t="s">
        <v>330</v>
      </c>
      <c r="AM53" s="365"/>
      <c r="AN53" s="355"/>
      <c r="AO53" s="356"/>
      <c r="AP53" s="356"/>
      <c r="AQ53" s="347"/>
      <c r="AR53" s="348">
        <f t="shared" ref="AR53" si="56">M53*AQ53/100</f>
        <v>0</v>
      </c>
      <c r="AS53" s="347"/>
      <c r="AT53" s="356"/>
      <c r="AU53" s="307">
        <f t="shared" si="14"/>
        <v>1833</v>
      </c>
      <c r="AV53" s="307">
        <f t="shared" si="15"/>
        <v>2616.3333333333335</v>
      </c>
      <c r="AW53" s="307"/>
      <c r="AX53" s="307">
        <f t="shared" ref="AX53" si="57">AV53*AW53/100</f>
        <v>0</v>
      </c>
      <c r="AY53" s="349">
        <v>44</v>
      </c>
      <c r="AZ53" s="322" t="s">
        <v>330</v>
      </c>
      <c r="BA53" s="363">
        <v>0.05</v>
      </c>
      <c r="BB53" s="357">
        <f t="shared" si="49"/>
        <v>39.166666666666664</v>
      </c>
      <c r="BC53" s="316"/>
      <c r="BD53" s="307">
        <f t="shared" si="17"/>
        <v>39.166666666666664</v>
      </c>
      <c r="BE53" s="307">
        <f t="shared" si="18"/>
        <v>2655.5</v>
      </c>
      <c r="BF53" s="307">
        <f t="shared" si="19"/>
        <v>398.32499999999999</v>
      </c>
      <c r="BG53" s="87">
        <f t="shared" si="20"/>
        <v>3053.8249999999998</v>
      </c>
      <c r="BH53" s="358"/>
      <c r="BI53" s="358">
        <f t="shared" si="21"/>
        <v>1</v>
      </c>
      <c r="BJ53" s="359">
        <f t="shared" si="22"/>
        <v>5.5555555555555552E-2</v>
      </c>
      <c r="BK53" s="360">
        <v>0.22</v>
      </c>
      <c r="BL53" s="245"/>
      <c r="BM53" s="245"/>
    </row>
    <row r="54" spans="1:65" s="166" customFormat="1" ht="15.75">
      <c r="A54" s="349">
        <v>45</v>
      </c>
      <c r="B54" s="322" t="s">
        <v>423</v>
      </c>
      <c r="C54" s="322" t="s">
        <v>457</v>
      </c>
      <c r="D54" s="352"/>
      <c r="E54" s="352"/>
      <c r="F54" s="352" t="s">
        <v>247</v>
      </c>
      <c r="G54" s="352">
        <v>12182</v>
      </c>
      <c r="H54" s="349">
        <v>45</v>
      </c>
      <c r="I54" s="322" t="s">
        <v>423</v>
      </c>
      <c r="J54" s="315"/>
      <c r="K54" s="315">
        <v>0.25</v>
      </c>
      <c r="L54" s="315"/>
      <c r="M54" s="307">
        <f t="shared" si="0"/>
        <v>15227.5</v>
      </c>
      <c r="N54" s="346">
        <v>4</v>
      </c>
      <c r="O54" s="315"/>
      <c r="P54" s="315"/>
      <c r="Q54" s="315"/>
      <c r="R54" s="315"/>
      <c r="S54" s="307">
        <f t="shared" ref="S54:S55" si="58">M54*N54/18</f>
        <v>3383.8888888888887</v>
      </c>
      <c r="T54" s="307">
        <f t="shared" ref="T54:T55" si="59">M54*O54/18</f>
        <v>0</v>
      </c>
      <c r="U54" s="307">
        <f t="shared" ref="U54:U55" si="60">M54*P54/18</f>
        <v>0</v>
      </c>
      <c r="V54" s="349">
        <v>45</v>
      </c>
      <c r="W54" s="322" t="s">
        <v>423</v>
      </c>
      <c r="X54" s="316">
        <f t="shared" si="23"/>
        <v>3383.8888888888887</v>
      </c>
      <c r="Y54" s="307">
        <f t="shared" si="24"/>
        <v>0</v>
      </c>
      <c r="Z54" s="307">
        <f t="shared" si="25"/>
        <v>0</v>
      </c>
      <c r="AA54" s="307">
        <f t="shared" si="26"/>
        <v>3383.8888888888887</v>
      </c>
      <c r="AB54" s="347"/>
      <c r="AC54" s="348"/>
      <c r="AD54" s="307"/>
      <c r="AE54" s="347"/>
      <c r="AF54" s="348">
        <f t="shared" si="54"/>
        <v>0</v>
      </c>
      <c r="AG54" s="348"/>
      <c r="AH54" s="307"/>
      <c r="AI54" s="315"/>
      <c r="AJ54" s="348"/>
      <c r="AK54" s="349">
        <v>45</v>
      </c>
      <c r="AL54" s="322" t="s">
        <v>423</v>
      </c>
      <c r="AM54" s="365"/>
      <c r="AN54" s="355"/>
      <c r="AO54" s="356"/>
      <c r="AP54" s="356"/>
      <c r="AQ54" s="347"/>
      <c r="AR54" s="348">
        <f t="shared" ref="AR54:AR55" si="61">M54*AQ54/100</f>
        <v>0</v>
      </c>
      <c r="AS54" s="347"/>
      <c r="AT54" s="356"/>
      <c r="AU54" s="307">
        <f t="shared" si="14"/>
        <v>0</v>
      </c>
      <c r="AV54" s="307">
        <f t="shared" si="15"/>
        <v>3383.8888888888887</v>
      </c>
      <c r="AW54" s="307"/>
      <c r="AX54" s="307">
        <f t="shared" ref="AX54:AX55" si="62">AV54*AW54/100</f>
        <v>0</v>
      </c>
      <c r="AY54" s="349">
        <v>45</v>
      </c>
      <c r="AZ54" s="322" t="s">
        <v>423</v>
      </c>
      <c r="BA54" s="363"/>
      <c r="BB54" s="357">
        <f t="shared" ref="BB54:BB55" si="63">M54*BA54/18*BI54</f>
        <v>0</v>
      </c>
      <c r="BC54" s="316"/>
      <c r="BD54" s="307">
        <f t="shared" si="17"/>
        <v>0</v>
      </c>
      <c r="BE54" s="307">
        <f t="shared" si="18"/>
        <v>3383.8888888888887</v>
      </c>
      <c r="BF54" s="307">
        <f t="shared" si="19"/>
        <v>507.58333333333326</v>
      </c>
      <c r="BG54" s="87">
        <f t="shared" si="20"/>
        <v>3891.4722222222217</v>
      </c>
      <c r="BH54" s="358"/>
      <c r="BI54" s="358">
        <f t="shared" si="21"/>
        <v>4</v>
      </c>
      <c r="BJ54" s="359">
        <f t="shared" si="22"/>
        <v>0.22222222222222221</v>
      </c>
      <c r="BK54" s="360"/>
      <c r="BL54" s="245"/>
      <c r="BM54" s="245"/>
    </row>
    <row r="55" spans="1:65" s="166" customFormat="1" ht="15.75">
      <c r="A55" s="349">
        <v>46</v>
      </c>
      <c r="B55" s="322" t="s">
        <v>423</v>
      </c>
      <c r="C55" s="322" t="s">
        <v>456</v>
      </c>
      <c r="D55" s="352"/>
      <c r="E55" s="352"/>
      <c r="F55" s="352" t="s">
        <v>247</v>
      </c>
      <c r="G55" s="352">
        <v>12182</v>
      </c>
      <c r="H55" s="349">
        <v>46</v>
      </c>
      <c r="I55" s="322" t="s">
        <v>423</v>
      </c>
      <c r="J55" s="315"/>
      <c r="K55" s="315">
        <v>0.25</v>
      </c>
      <c r="L55" s="315"/>
      <c r="M55" s="307">
        <f>G55*(1+J55)*(1+K55)</f>
        <v>15227.5</v>
      </c>
      <c r="N55" s="346">
        <v>10</v>
      </c>
      <c r="O55" s="346">
        <v>5</v>
      </c>
      <c r="P55" s="315"/>
      <c r="Q55" s="315"/>
      <c r="R55" s="315"/>
      <c r="S55" s="307">
        <f t="shared" si="58"/>
        <v>8459.7222222222226</v>
      </c>
      <c r="T55" s="307">
        <f t="shared" si="59"/>
        <v>4229.8611111111113</v>
      </c>
      <c r="U55" s="307">
        <f t="shared" si="60"/>
        <v>0</v>
      </c>
      <c r="V55" s="349">
        <v>46</v>
      </c>
      <c r="W55" s="322" t="s">
        <v>423</v>
      </c>
      <c r="X55" s="316">
        <f t="shared" si="23"/>
        <v>12689.583333333334</v>
      </c>
      <c r="Y55" s="307">
        <f t="shared" si="24"/>
        <v>0</v>
      </c>
      <c r="Z55" s="307">
        <f t="shared" si="25"/>
        <v>0</v>
      </c>
      <c r="AA55" s="307">
        <f t="shared" si="26"/>
        <v>12689.583333333334</v>
      </c>
      <c r="AB55" s="347"/>
      <c r="AC55" s="348"/>
      <c r="AD55" s="307"/>
      <c r="AE55" s="347"/>
      <c r="AF55" s="348"/>
      <c r="AG55" s="348"/>
      <c r="AH55" s="307"/>
      <c r="AI55" s="315"/>
      <c r="AJ55" s="348"/>
      <c r="AK55" s="349">
        <v>46</v>
      </c>
      <c r="AL55" s="322" t="s">
        <v>423</v>
      </c>
      <c r="AM55" s="365"/>
      <c r="AN55" s="355"/>
      <c r="AO55" s="356"/>
      <c r="AP55" s="356"/>
      <c r="AQ55" s="347"/>
      <c r="AR55" s="348">
        <f t="shared" si="61"/>
        <v>0</v>
      </c>
      <c r="AS55" s="347"/>
      <c r="AT55" s="356"/>
      <c r="AU55" s="307">
        <f t="shared" si="14"/>
        <v>0</v>
      </c>
      <c r="AV55" s="307">
        <f t="shared" si="15"/>
        <v>12689.583333333334</v>
      </c>
      <c r="AW55" s="307"/>
      <c r="AX55" s="307">
        <f t="shared" si="62"/>
        <v>0</v>
      </c>
      <c r="AY55" s="349">
        <v>46</v>
      </c>
      <c r="AZ55" s="322" t="s">
        <v>423</v>
      </c>
      <c r="BA55" s="363"/>
      <c r="BB55" s="357">
        <f t="shared" si="63"/>
        <v>0</v>
      </c>
      <c r="BC55" s="316"/>
      <c r="BD55" s="307">
        <f t="shared" si="17"/>
        <v>0</v>
      </c>
      <c r="BE55" s="307">
        <f t="shared" si="18"/>
        <v>12689.583333333334</v>
      </c>
      <c r="BF55" s="307">
        <f t="shared" si="19"/>
        <v>1903.4375</v>
      </c>
      <c r="BG55" s="87">
        <f t="shared" si="20"/>
        <v>14593.020833333334</v>
      </c>
      <c r="BH55" s="358"/>
      <c r="BI55" s="358">
        <f t="shared" si="21"/>
        <v>15</v>
      </c>
      <c r="BJ55" s="359">
        <f t="shared" si="22"/>
        <v>0.83333333333333337</v>
      </c>
      <c r="BK55" s="360"/>
      <c r="BL55" s="245"/>
      <c r="BM55" s="245"/>
    </row>
    <row r="56" spans="1:65" ht="15.75">
      <c r="A56" s="384"/>
      <c r="B56" s="385" t="s">
        <v>33</v>
      </c>
      <c r="C56" s="385" t="s">
        <v>64</v>
      </c>
      <c r="D56" s="386" t="s">
        <v>64</v>
      </c>
      <c r="E56" s="386"/>
      <c r="F56" s="386" t="s">
        <v>64</v>
      </c>
      <c r="G56" s="386" t="s">
        <v>64</v>
      </c>
      <c r="H56" s="384"/>
      <c r="I56" s="385" t="s">
        <v>33</v>
      </c>
      <c r="J56" s="387" t="s">
        <v>64</v>
      </c>
      <c r="K56" s="387" t="s">
        <v>64</v>
      </c>
      <c r="L56" s="387" t="s">
        <v>64</v>
      </c>
      <c r="M56" s="388" t="s">
        <v>64</v>
      </c>
      <c r="N56" s="387">
        <f t="shared" ref="N56:U56" si="64">SUM(N10:N55)</f>
        <v>200</v>
      </c>
      <c r="O56" s="387">
        <f t="shared" si="64"/>
        <v>274</v>
      </c>
      <c r="P56" s="387">
        <f t="shared" si="64"/>
        <v>73</v>
      </c>
      <c r="Q56" s="387">
        <f t="shared" si="64"/>
        <v>18</v>
      </c>
      <c r="R56" s="387">
        <f t="shared" si="64"/>
        <v>0</v>
      </c>
      <c r="S56" s="387">
        <f t="shared" si="64"/>
        <v>162708.47222222222</v>
      </c>
      <c r="T56" s="387">
        <f t="shared" si="64"/>
        <v>222762.12777777785</v>
      </c>
      <c r="U56" s="388">
        <f t="shared" si="64"/>
        <v>58787.261111111118</v>
      </c>
      <c r="V56" s="384"/>
      <c r="W56" s="385" t="s">
        <v>33</v>
      </c>
      <c r="X56" s="389">
        <f>SUM(X10:X55)</f>
        <v>444257.86111111112</v>
      </c>
      <c r="Y56" s="389">
        <f>SUM(Y10:Y55)</f>
        <v>15001.322222222219</v>
      </c>
      <c r="Z56" s="389">
        <f>SUM(Z10:Z55)</f>
        <v>0</v>
      </c>
      <c r="AA56" s="389">
        <f>SUM(AA10:AA55)</f>
        <v>459259.18333333341</v>
      </c>
      <c r="AB56" s="389" t="s">
        <v>64</v>
      </c>
      <c r="AC56" s="389">
        <f>SUM(AC10:AC55)</f>
        <v>25282.275000000001</v>
      </c>
      <c r="AD56" s="389" t="s">
        <v>64</v>
      </c>
      <c r="AE56" s="389" t="s">
        <v>64</v>
      </c>
      <c r="AF56" s="389">
        <f>SUM(AF10:AF55)</f>
        <v>22860.187222222223</v>
      </c>
      <c r="AG56" s="389">
        <f>SUM(AG10:AG55)</f>
        <v>13322.344999999999</v>
      </c>
      <c r="AH56" s="390">
        <f>SUM(AH10:AH53)</f>
        <v>0</v>
      </c>
      <c r="AI56" s="391" t="s">
        <v>64</v>
      </c>
      <c r="AJ56" s="389">
        <f>SUM(AJ10:AJ53)</f>
        <v>2679</v>
      </c>
      <c r="AK56" s="392"/>
      <c r="AL56" s="386" t="s">
        <v>33</v>
      </c>
      <c r="AM56" s="391"/>
      <c r="AN56" s="389">
        <f>SUM(AN10:AN55)</f>
        <v>4230</v>
      </c>
      <c r="AO56" s="389">
        <f>SUM(AO10:AO55)</f>
        <v>1410</v>
      </c>
      <c r="AP56" s="389">
        <f>SUM(AP10:AP55)</f>
        <v>2256</v>
      </c>
      <c r="AQ56" s="391" t="s">
        <v>166</v>
      </c>
      <c r="AR56" s="389">
        <f>SUM(AR10:AR55)</f>
        <v>2228.375</v>
      </c>
      <c r="AS56" s="389" t="s">
        <v>166</v>
      </c>
      <c r="AT56" s="389">
        <f>SUM(AT10:AT55)</f>
        <v>13691.833333333334</v>
      </c>
      <c r="AU56" s="389">
        <f>SUM(AU10:AU55)</f>
        <v>87960.015555555554</v>
      </c>
      <c r="AV56" s="389">
        <f>SUM(AV10:AV55)</f>
        <v>547219.19888888893</v>
      </c>
      <c r="AW56" s="391" t="s">
        <v>166</v>
      </c>
      <c r="AX56" s="389">
        <f>SUM(AX10:AX55)</f>
        <v>12268.10821111111</v>
      </c>
      <c r="AY56" s="384"/>
      <c r="AZ56" s="385" t="s">
        <v>33</v>
      </c>
      <c r="BA56" s="386" t="s">
        <v>64</v>
      </c>
      <c r="BB56" s="393">
        <f>SUM(BB10:BB53)</f>
        <v>20423.195277777777</v>
      </c>
      <c r="BC56" s="389">
        <f>SUM(BC10:BC53)</f>
        <v>0</v>
      </c>
      <c r="BD56" s="389">
        <f>SUM(BD10:BD55)</f>
        <v>32691.303488888883</v>
      </c>
      <c r="BE56" s="389">
        <f>SUM(BE10:BE55)</f>
        <v>579910.50237777783</v>
      </c>
      <c r="BF56" s="389">
        <f>SUM(BF10:BF55)</f>
        <v>86986.575356666668</v>
      </c>
      <c r="BG56" s="389">
        <f>SUM(BG10:BG55)</f>
        <v>666897.07773444441</v>
      </c>
      <c r="BH56" s="389"/>
      <c r="BI56" s="389">
        <f>SUM(BI10:BI55)</f>
        <v>565</v>
      </c>
      <c r="BJ56" s="394">
        <f>SUM(BJ10:BJ55)</f>
        <v>31.388888888888886</v>
      </c>
      <c r="BK56" s="394">
        <f>SUM(BK10:BK55)</f>
        <v>29.31444444444444</v>
      </c>
      <c r="BL56" s="174"/>
      <c r="BM56" s="174"/>
    </row>
    <row r="57" spans="1:65" s="162" customFormat="1" ht="15.75">
      <c r="A57" s="349">
        <v>1</v>
      </c>
      <c r="B57" s="350" t="s">
        <v>278</v>
      </c>
      <c r="C57" s="322" t="s">
        <v>244</v>
      </c>
      <c r="D57" s="351">
        <v>19</v>
      </c>
      <c r="E57" s="351"/>
      <c r="F57" s="352" t="s">
        <v>444</v>
      </c>
      <c r="G57" s="352">
        <v>13094</v>
      </c>
      <c r="H57" s="349">
        <v>1</v>
      </c>
      <c r="I57" s="350" t="s">
        <v>278</v>
      </c>
      <c r="J57" s="315"/>
      <c r="K57" s="315">
        <v>0.25</v>
      </c>
      <c r="L57" s="315"/>
      <c r="M57" s="307">
        <f>G57*(1+J57)*(1+K57)</f>
        <v>16367.5</v>
      </c>
      <c r="N57" s="315">
        <v>10</v>
      </c>
      <c r="O57" s="315">
        <v>10</v>
      </c>
      <c r="P57" s="315"/>
      <c r="Q57" s="315">
        <v>1</v>
      </c>
      <c r="R57" s="315"/>
      <c r="S57" s="307">
        <f>M57*N57/18</f>
        <v>9093.0555555555547</v>
      </c>
      <c r="T57" s="307">
        <f>M57*O57/18</f>
        <v>9093.0555555555547</v>
      </c>
      <c r="U57" s="307">
        <f>M57*P57/18</f>
        <v>0</v>
      </c>
      <c r="V57" s="349">
        <v>1</v>
      </c>
      <c r="W57" s="350" t="s">
        <v>278</v>
      </c>
      <c r="X57" s="316">
        <f>S57+T57+U57</f>
        <v>18186.111111111109</v>
      </c>
      <c r="Y57" s="307">
        <f>M57*Q57/18</f>
        <v>909.30555555555554</v>
      </c>
      <c r="Z57" s="307">
        <f>G57*(1+J57)*(1+K57+0.2)*R57/18</f>
        <v>0</v>
      </c>
      <c r="AA57" s="307">
        <f>X57+Y57+Z57</f>
        <v>19095.416666666664</v>
      </c>
      <c r="AB57" s="347"/>
      <c r="AC57" s="348">
        <f>M57*AB57/100</f>
        <v>0</v>
      </c>
      <c r="AD57" s="307">
        <v>20</v>
      </c>
      <c r="AE57" s="353">
        <v>10</v>
      </c>
      <c r="AF57" s="348">
        <f>(M57*AD57/18)*AE57/100</f>
        <v>1818.6111111111109</v>
      </c>
      <c r="AG57" s="348">
        <f t="shared" ref="AG57" si="65">M57*5%</f>
        <v>818.375</v>
      </c>
      <c r="AH57" s="307"/>
      <c r="AI57" s="307"/>
      <c r="AJ57" s="348"/>
      <c r="AK57" s="349">
        <v>1</v>
      </c>
      <c r="AL57" s="350" t="s">
        <v>278</v>
      </c>
      <c r="AM57" s="361"/>
      <c r="AN57" s="355"/>
      <c r="AO57" s="362"/>
      <c r="AP57" s="356"/>
      <c r="AQ57" s="347"/>
      <c r="AR57" s="348">
        <f>M57*AQ57/100</f>
        <v>0</v>
      </c>
      <c r="AS57" s="347"/>
      <c r="AT57" s="356"/>
      <c r="AU57" s="307">
        <f>AC57+AF57+AG57+AH57+AJ57+AN57+AO57+AP57+AR57+AT57</f>
        <v>2636.9861111111109</v>
      </c>
      <c r="AV57" s="307">
        <f>AA57+AU57</f>
        <v>21732.402777777774</v>
      </c>
      <c r="AW57" s="307"/>
      <c r="AX57" s="307">
        <f>AV57*AW57/100</f>
        <v>0</v>
      </c>
      <c r="AY57" s="349">
        <v>3</v>
      </c>
      <c r="AZ57" s="350" t="s">
        <v>278</v>
      </c>
      <c r="BA57" s="350">
        <v>0.05</v>
      </c>
      <c r="BB57" s="357">
        <f t="shared" ref="BB57:BB60" si="66">M57*BA57</f>
        <v>818.375</v>
      </c>
      <c r="BC57" s="316"/>
      <c r="BD57" s="307">
        <f>AX57+BB57+BC57</f>
        <v>818.375</v>
      </c>
      <c r="BE57" s="307">
        <f>AV57+BD57</f>
        <v>22550.777777777774</v>
      </c>
      <c r="BF57" s="307">
        <f>BE57*0.15</f>
        <v>3382.6166666666659</v>
      </c>
      <c r="BG57" s="87">
        <f>BE57+BF57</f>
        <v>25933.394444444439</v>
      </c>
      <c r="BH57" s="358"/>
      <c r="BI57" s="358">
        <f>N57+O57+P57+Q57+R57</f>
        <v>21</v>
      </c>
      <c r="BJ57" s="366">
        <f>BI57/18</f>
        <v>1.1666666666666667</v>
      </c>
      <c r="BK57" s="367">
        <v>1</v>
      </c>
      <c r="BL57" s="174"/>
      <c r="BM57" s="174"/>
    </row>
    <row r="58" spans="1:65" s="162" customFormat="1" ht="15.75">
      <c r="A58" s="349">
        <v>2</v>
      </c>
      <c r="B58" s="350" t="s">
        <v>287</v>
      </c>
      <c r="C58" s="322" t="s">
        <v>245</v>
      </c>
      <c r="D58" s="351">
        <v>3</v>
      </c>
      <c r="E58" s="351"/>
      <c r="F58" s="352" t="s">
        <v>372</v>
      </c>
      <c r="G58" s="352">
        <v>11280</v>
      </c>
      <c r="H58" s="349">
        <v>2</v>
      </c>
      <c r="I58" s="350" t="s">
        <v>287</v>
      </c>
      <c r="J58" s="315"/>
      <c r="K58" s="315">
        <v>0.25</v>
      </c>
      <c r="L58" s="315"/>
      <c r="M58" s="307">
        <f t="shared" ref="M58:M60" si="67">G58*(1+J58)*(1+K58)</f>
        <v>14100</v>
      </c>
      <c r="N58" s="315"/>
      <c r="O58" s="315">
        <v>12</v>
      </c>
      <c r="P58" s="315">
        <v>2</v>
      </c>
      <c r="Q58" s="315"/>
      <c r="R58" s="315"/>
      <c r="S58" s="307">
        <f>M58*N58/18</f>
        <v>0</v>
      </c>
      <c r="T58" s="307">
        <f>M58*O58/18</f>
        <v>9400</v>
      </c>
      <c r="U58" s="307">
        <f>M58*P58/18</f>
        <v>1566.6666666666667</v>
      </c>
      <c r="V58" s="349">
        <v>2</v>
      </c>
      <c r="W58" s="350" t="s">
        <v>287</v>
      </c>
      <c r="X58" s="316">
        <f>S58+T58+U58</f>
        <v>10966.666666666666</v>
      </c>
      <c r="Y58" s="307">
        <f>M58*Q58/18</f>
        <v>0</v>
      </c>
      <c r="Z58" s="307">
        <f>G58*(1+J58)*(1+K58+0.2)*R58/18</f>
        <v>0</v>
      </c>
      <c r="AA58" s="307">
        <f>X58+Y58+Z58</f>
        <v>10966.666666666666</v>
      </c>
      <c r="AB58" s="347"/>
      <c r="AC58" s="348">
        <f>M58*AB58/100</f>
        <v>0</v>
      </c>
      <c r="AD58" s="307">
        <v>13</v>
      </c>
      <c r="AE58" s="347">
        <v>10</v>
      </c>
      <c r="AF58" s="348">
        <f>(M58*AD58/18)*AE58/100</f>
        <v>1018.3333333333335</v>
      </c>
      <c r="AG58" s="348"/>
      <c r="AH58" s="307"/>
      <c r="AI58" s="315"/>
      <c r="AJ58" s="348">
        <f>M58*AI58/100</f>
        <v>0</v>
      </c>
      <c r="AK58" s="349">
        <v>2</v>
      </c>
      <c r="AL58" s="350" t="s">
        <v>287</v>
      </c>
      <c r="AM58" s="365"/>
      <c r="AN58" s="355"/>
      <c r="AO58" s="356"/>
      <c r="AP58" s="356"/>
      <c r="AQ58" s="347"/>
      <c r="AR58" s="348">
        <f>M58*AQ58/100</f>
        <v>0</v>
      </c>
      <c r="AS58" s="347">
        <v>10</v>
      </c>
      <c r="AT58" s="348">
        <f>(M58*AD58/18)*AS58/100</f>
        <v>1018.3333333333335</v>
      </c>
      <c r="AU58" s="307">
        <f>AC58+AF58+AG58+AH58+AJ58+AN58+AO58+AP58+AR58+AT58</f>
        <v>2036.666666666667</v>
      </c>
      <c r="AV58" s="307">
        <f>AA58+AU58</f>
        <v>13003.333333333332</v>
      </c>
      <c r="AW58" s="307"/>
      <c r="AX58" s="307">
        <f>AV58*AW58/100</f>
        <v>0</v>
      </c>
      <c r="AY58" s="349">
        <v>13</v>
      </c>
      <c r="AZ58" s="350" t="s">
        <v>287</v>
      </c>
      <c r="BA58" s="350">
        <v>0.02</v>
      </c>
      <c r="BB58" s="357">
        <f t="shared" si="66"/>
        <v>282</v>
      </c>
      <c r="BC58" s="316">
        <f>AV58*20%</f>
        <v>2600.6666666666665</v>
      </c>
      <c r="BD58" s="307">
        <f>AX58+BB58+BC58</f>
        <v>2882.6666666666665</v>
      </c>
      <c r="BE58" s="307">
        <f>AV58+BD58</f>
        <v>15885.999999999998</v>
      </c>
      <c r="BF58" s="307">
        <f>BE58*0.15</f>
        <v>2382.8999999999996</v>
      </c>
      <c r="BG58" s="87">
        <f>BE58+BF58</f>
        <v>18268.899999999998</v>
      </c>
      <c r="BH58" s="358"/>
      <c r="BI58" s="358">
        <f>N58+O58+P58+Q58+R58</f>
        <v>14</v>
      </c>
      <c r="BJ58" s="366">
        <f>BI58/18</f>
        <v>0.77777777777777779</v>
      </c>
      <c r="BK58" s="367">
        <f>BJ58</f>
        <v>0.77777777777777779</v>
      </c>
      <c r="BL58" s="174"/>
      <c r="BM58" s="174"/>
    </row>
    <row r="59" spans="1:65" ht="15.75">
      <c r="A59" s="349">
        <v>3</v>
      </c>
      <c r="B59" s="350" t="s">
        <v>290</v>
      </c>
      <c r="C59" s="322" t="s">
        <v>288</v>
      </c>
      <c r="D59" s="351">
        <v>9</v>
      </c>
      <c r="E59" s="351"/>
      <c r="F59" s="352" t="s">
        <v>372</v>
      </c>
      <c r="G59" s="352">
        <v>11280</v>
      </c>
      <c r="H59" s="349">
        <v>3</v>
      </c>
      <c r="I59" s="350" t="s">
        <v>290</v>
      </c>
      <c r="J59" s="315"/>
      <c r="K59" s="315">
        <v>0.25</v>
      </c>
      <c r="L59" s="315"/>
      <c r="M59" s="307">
        <f t="shared" si="67"/>
        <v>14100</v>
      </c>
      <c r="N59" s="315">
        <v>4</v>
      </c>
      <c r="O59" s="315">
        <v>6</v>
      </c>
      <c r="P59" s="315"/>
      <c r="Q59" s="315"/>
      <c r="R59" s="315"/>
      <c r="S59" s="307">
        <f t="shared" ref="S59:S60" si="68">M59*N59/18</f>
        <v>3133.3333333333335</v>
      </c>
      <c r="T59" s="307">
        <f t="shared" ref="T59:T60" si="69">M59*O59/18</f>
        <v>4700</v>
      </c>
      <c r="U59" s="307">
        <f t="shared" ref="U59:U60" si="70">M59*P59/18</f>
        <v>0</v>
      </c>
      <c r="V59" s="349">
        <v>3</v>
      </c>
      <c r="W59" s="350" t="s">
        <v>290</v>
      </c>
      <c r="X59" s="316">
        <f t="shared" ref="X59:X60" si="71">S59+T59+U59</f>
        <v>7833.3333333333339</v>
      </c>
      <c r="Y59" s="307">
        <f t="shared" ref="Y59:Y60" si="72">M59*Q59/18</f>
        <v>0</v>
      </c>
      <c r="Z59" s="307">
        <f t="shared" ref="Z59:Z60" si="73">G59*(1+J59)*(1+K59+0.2)*R59/18</f>
        <v>0</v>
      </c>
      <c r="AA59" s="307">
        <f t="shared" ref="AA59:AA60" si="74">X59+Y59+Z59</f>
        <v>7833.3333333333339</v>
      </c>
      <c r="AB59" s="347"/>
      <c r="AC59" s="348">
        <f t="shared" ref="AC59:AC60" si="75">M59*AB59/100</f>
        <v>0</v>
      </c>
      <c r="AD59" s="307">
        <v>10</v>
      </c>
      <c r="AE59" s="347">
        <v>6</v>
      </c>
      <c r="AF59" s="348">
        <f t="shared" ref="AF59:AF60" si="76">(M59*AD59/18)*AE59/100</f>
        <v>470</v>
      </c>
      <c r="AG59" s="348"/>
      <c r="AH59" s="307"/>
      <c r="AI59" s="315"/>
      <c r="AJ59" s="348"/>
      <c r="AK59" s="349">
        <v>3</v>
      </c>
      <c r="AL59" s="350" t="s">
        <v>290</v>
      </c>
      <c r="AM59" s="365"/>
      <c r="AN59" s="355"/>
      <c r="AO59" s="356"/>
      <c r="AP59" s="356"/>
      <c r="AQ59" s="347"/>
      <c r="AR59" s="348">
        <f t="shared" ref="AR59:AR60" si="77">M59*AQ59/100</f>
        <v>0</v>
      </c>
      <c r="AS59" s="307"/>
      <c r="AT59" s="348">
        <f t="shared" ref="AT59:AT60" si="78">(M59*AD59/18)*AS59/100</f>
        <v>0</v>
      </c>
      <c r="AU59" s="307">
        <f t="shared" ref="AU59:AU60" si="79">AC59+AF59+AG59+AH59+AJ59+AN59+AO59+AP59+AR59+AT59</f>
        <v>470</v>
      </c>
      <c r="AV59" s="307">
        <f t="shared" ref="AV59:AV60" si="80">AA59+AU59</f>
        <v>8303.3333333333339</v>
      </c>
      <c r="AW59" s="307"/>
      <c r="AX59" s="307">
        <f t="shared" ref="AX59:AX60" si="81">AV59*AW59/100</f>
        <v>0</v>
      </c>
      <c r="AY59" s="349">
        <v>16</v>
      </c>
      <c r="AZ59" s="350" t="s">
        <v>290</v>
      </c>
      <c r="BA59" s="350">
        <v>0.03</v>
      </c>
      <c r="BB59" s="357">
        <f t="shared" si="66"/>
        <v>423</v>
      </c>
      <c r="BC59" s="316"/>
      <c r="BD59" s="307">
        <f t="shared" ref="BD59:BD60" si="82">AX59+BB59+BC59</f>
        <v>423</v>
      </c>
      <c r="BE59" s="307">
        <f t="shared" ref="BE59:BE60" si="83">AV59+BD59</f>
        <v>8726.3333333333339</v>
      </c>
      <c r="BF59" s="307">
        <f t="shared" ref="BF59:BF60" si="84">BE59*0.15</f>
        <v>1308.95</v>
      </c>
      <c r="BG59" s="87">
        <f t="shared" ref="BG59:BG60" si="85">BE59+BF59</f>
        <v>10035.283333333335</v>
      </c>
      <c r="BH59" s="358"/>
      <c r="BI59" s="358">
        <f t="shared" ref="BI59:BI60" si="86">N59+O59+P59+Q59+R59</f>
        <v>10</v>
      </c>
      <c r="BJ59" s="366">
        <f t="shared" ref="BJ59:BJ60" si="87">BI59/18</f>
        <v>0.55555555555555558</v>
      </c>
      <c r="BK59" s="367">
        <f t="shared" ref="BK59:BK60" si="88">BJ59</f>
        <v>0.55555555555555558</v>
      </c>
      <c r="BL59" s="174"/>
      <c r="BM59" s="174"/>
    </row>
    <row r="60" spans="1:65" ht="15.75">
      <c r="A60" s="395">
        <v>4</v>
      </c>
      <c r="B60" s="377" t="s">
        <v>290</v>
      </c>
      <c r="C60" s="322" t="s">
        <v>361</v>
      </c>
      <c r="D60" s="378">
        <v>9</v>
      </c>
      <c r="E60" s="378"/>
      <c r="F60" s="352" t="s">
        <v>372</v>
      </c>
      <c r="G60" s="352">
        <v>11280</v>
      </c>
      <c r="H60" s="395">
        <v>4</v>
      </c>
      <c r="I60" s="377" t="s">
        <v>290</v>
      </c>
      <c r="J60" s="315"/>
      <c r="K60" s="315">
        <v>0.25</v>
      </c>
      <c r="L60" s="315">
        <v>0.13</v>
      </c>
      <c r="M60" s="307">
        <f t="shared" si="67"/>
        <v>14100</v>
      </c>
      <c r="N60" s="315"/>
      <c r="O60" s="315">
        <v>7</v>
      </c>
      <c r="P60" s="315"/>
      <c r="Q60" s="315"/>
      <c r="R60" s="315"/>
      <c r="S60" s="307">
        <f t="shared" si="68"/>
        <v>0</v>
      </c>
      <c r="T60" s="307">
        <f t="shared" si="69"/>
        <v>5483.333333333333</v>
      </c>
      <c r="U60" s="307">
        <f t="shared" si="70"/>
        <v>0</v>
      </c>
      <c r="V60" s="395">
        <v>4</v>
      </c>
      <c r="W60" s="377" t="s">
        <v>290</v>
      </c>
      <c r="X60" s="307">
        <f t="shared" si="71"/>
        <v>5483.333333333333</v>
      </c>
      <c r="Y60" s="307">
        <f t="shared" si="72"/>
        <v>0</v>
      </c>
      <c r="Z60" s="307">
        <f t="shared" si="73"/>
        <v>0</v>
      </c>
      <c r="AA60" s="307">
        <f t="shared" si="74"/>
        <v>5483.333333333333</v>
      </c>
      <c r="AB60" s="347"/>
      <c r="AC60" s="348">
        <f t="shared" si="75"/>
        <v>0</v>
      </c>
      <c r="AD60" s="307">
        <v>7</v>
      </c>
      <c r="AE60" s="347">
        <v>3</v>
      </c>
      <c r="AF60" s="348">
        <f t="shared" si="76"/>
        <v>164.5</v>
      </c>
      <c r="AG60" s="348"/>
      <c r="AH60" s="307"/>
      <c r="AI60" s="315"/>
      <c r="AJ60" s="348"/>
      <c r="AK60" s="395">
        <v>4</v>
      </c>
      <c r="AL60" s="377" t="s">
        <v>290</v>
      </c>
      <c r="AM60" s="365"/>
      <c r="AN60" s="356"/>
      <c r="AO60" s="356"/>
      <c r="AP60" s="356"/>
      <c r="AQ60" s="347"/>
      <c r="AR60" s="348">
        <f t="shared" si="77"/>
        <v>0</v>
      </c>
      <c r="AS60" s="307"/>
      <c r="AT60" s="348">
        <f t="shared" si="78"/>
        <v>0</v>
      </c>
      <c r="AU60" s="307">
        <f t="shared" si="79"/>
        <v>164.5</v>
      </c>
      <c r="AV60" s="307">
        <f t="shared" si="80"/>
        <v>5647.833333333333</v>
      </c>
      <c r="AW60" s="307"/>
      <c r="AX60" s="307">
        <f t="shared" si="81"/>
        <v>0</v>
      </c>
      <c r="AY60" s="395">
        <v>16</v>
      </c>
      <c r="AZ60" s="377" t="s">
        <v>290</v>
      </c>
      <c r="BA60" s="377">
        <v>0.03</v>
      </c>
      <c r="BB60" s="357">
        <f t="shared" si="66"/>
        <v>423</v>
      </c>
      <c r="BC60" s="307"/>
      <c r="BD60" s="307">
        <f t="shared" si="82"/>
        <v>423</v>
      </c>
      <c r="BE60" s="307">
        <f t="shared" si="83"/>
        <v>6070.833333333333</v>
      </c>
      <c r="BF60" s="307">
        <f t="shared" si="84"/>
        <v>910.62499999999989</v>
      </c>
      <c r="BG60" s="87">
        <f t="shared" si="85"/>
        <v>6981.458333333333</v>
      </c>
      <c r="BH60" s="379"/>
      <c r="BI60" s="379">
        <f t="shared" si="86"/>
        <v>7</v>
      </c>
      <c r="BJ60" s="396">
        <f t="shared" si="87"/>
        <v>0.3888888888888889</v>
      </c>
      <c r="BK60" s="397">
        <f t="shared" si="88"/>
        <v>0.3888888888888889</v>
      </c>
      <c r="BL60" s="174"/>
      <c r="BM60" s="174"/>
    </row>
    <row r="61" spans="1:65">
      <c r="A61" s="177"/>
      <c r="B61" s="178"/>
      <c r="C61" s="178"/>
      <c r="D61" s="241"/>
      <c r="E61" s="241"/>
      <c r="F61" s="241"/>
      <c r="G61" s="241"/>
      <c r="H61" s="177"/>
      <c r="I61" s="178"/>
      <c r="J61" s="178"/>
      <c r="K61" s="178"/>
      <c r="L61" s="178"/>
      <c r="M61" s="179"/>
      <c r="N61" s="178"/>
      <c r="O61" s="178">
        <f>COUNT(O10:O53)</f>
        <v>31</v>
      </c>
      <c r="P61" s="178"/>
      <c r="Q61" s="178"/>
      <c r="R61" s="178"/>
      <c r="S61" s="180"/>
      <c r="T61" s="180"/>
      <c r="U61" s="180"/>
      <c r="V61" s="181"/>
      <c r="W61" s="178"/>
      <c r="X61" s="180"/>
      <c r="Y61" s="179"/>
      <c r="Z61" s="179"/>
      <c r="AA61" s="179"/>
      <c r="AB61" s="179"/>
      <c r="AC61" s="207"/>
      <c r="AD61" s="179"/>
      <c r="AE61" s="179"/>
      <c r="AF61" s="207"/>
      <c r="AG61" s="207"/>
      <c r="AH61" s="182"/>
      <c r="AI61" s="178"/>
      <c r="AJ61" s="207"/>
      <c r="AK61" s="181"/>
      <c r="AL61" s="178"/>
      <c r="AM61" s="178"/>
      <c r="AN61" s="217"/>
      <c r="AO61" s="217"/>
      <c r="AP61" s="217"/>
      <c r="AQ61" s="178"/>
      <c r="AR61" s="207"/>
      <c r="AS61" s="180"/>
      <c r="AT61" s="217"/>
      <c r="AU61" s="180"/>
      <c r="AV61" s="180"/>
      <c r="AW61" s="178"/>
      <c r="AX61" s="178"/>
      <c r="AY61" s="181"/>
      <c r="AZ61" s="178"/>
      <c r="BA61" s="178"/>
      <c r="BB61" s="178"/>
      <c r="BC61" s="187"/>
      <c r="BD61" s="187"/>
      <c r="BE61" s="187"/>
      <c r="BF61" s="187"/>
      <c r="BG61" s="187"/>
      <c r="BH61" s="187"/>
      <c r="BI61" s="187"/>
      <c r="BJ61" s="187"/>
      <c r="BK61" s="187"/>
      <c r="BL61" s="162"/>
      <c r="BM61" s="162"/>
    </row>
    <row r="62" spans="1:65" ht="15.75">
      <c r="A62" s="183"/>
      <c r="B62" s="184" t="s">
        <v>369</v>
      </c>
      <c r="C62" s="184" t="s">
        <v>360</v>
      </c>
      <c r="D62" s="242"/>
      <c r="E62" s="242"/>
      <c r="F62" s="242"/>
      <c r="G62" s="242"/>
      <c r="H62" s="185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208"/>
      <c r="AD62" s="162"/>
      <c r="AE62" s="162"/>
      <c r="AF62" s="208"/>
      <c r="AG62" s="208"/>
      <c r="AH62" s="186"/>
      <c r="AI62" s="162"/>
      <c r="AJ62" s="208"/>
      <c r="AK62" s="162"/>
      <c r="AL62" s="162"/>
      <c r="AM62" s="162"/>
      <c r="AN62" s="208"/>
      <c r="AO62" s="208"/>
      <c r="AP62" s="208"/>
      <c r="AQ62" s="162"/>
      <c r="AR62" s="208"/>
      <c r="AS62" s="162"/>
      <c r="AT62" s="208"/>
      <c r="AU62" s="162"/>
      <c r="AV62" s="162"/>
      <c r="AW62" s="162"/>
      <c r="AX62" s="162"/>
      <c r="AY62" s="162"/>
      <c r="AZ62" s="162"/>
      <c r="BA62" s="162"/>
      <c r="BB62" s="162"/>
      <c r="BC62" s="187"/>
      <c r="BD62" s="187"/>
      <c r="BE62" s="187"/>
      <c r="BF62" s="187"/>
      <c r="BG62" s="275"/>
      <c r="BH62" s="275"/>
      <c r="BI62" s="187"/>
      <c r="BJ62" s="187"/>
      <c r="BK62" s="187"/>
      <c r="BL62" s="162"/>
      <c r="BM62" s="162"/>
    </row>
    <row r="63" spans="1:65">
      <c r="A63" s="185"/>
      <c r="B63" s="188" t="s">
        <v>403</v>
      </c>
      <c r="C63" s="188" t="s">
        <v>406</v>
      </c>
      <c r="D63" s="243"/>
      <c r="E63" s="243"/>
      <c r="F63" s="243"/>
      <c r="G63" s="243"/>
      <c r="H63" s="185"/>
      <c r="I63" s="162"/>
      <c r="J63" s="162"/>
      <c r="K63" s="189"/>
      <c r="L63" s="162" t="s">
        <v>453</v>
      </c>
      <c r="M63" s="162"/>
      <c r="N63" s="343">
        <v>200</v>
      </c>
      <c r="O63" s="343">
        <v>274</v>
      </c>
      <c r="P63" s="343">
        <v>74</v>
      </c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208"/>
      <c r="AD63" s="162"/>
      <c r="AE63" s="162"/>
      <c r="AF63" s="208"/>
      <c r="AG63" s="208"/>
      <c r="AH63" s="162"/>
      <c r="AI63" s="162"/>
      <c r="AJ63" s="208"/>
      <c r="AK63" s="162"/>
      <c r="AL63" s="162"/>
      <c r="AM63" s="162"/>
      <c r="AN63" s="208"/>
      <c r="AO63" s="208"/>
      <c r="AP63" s="208"/>
      <c r="AQ63" s="162"/>
      <c r="AR63" s="208"/>
      <c r="AS63" s="162"/>
      <c r="AT63" s="208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87"/>
      <c r="BF63" s="276"/>
      <c r="BG63" s="277"/>
      <c r="BH63" s="277"/>
      <c r="BI63" s="162"/>
      <c r="BJ63" s="162"/>
      <c r="BK63" s="162"/>
      <c r="BL63" s="162"/>
      <c r="BM63" s="162"/>
    </row>
    <row r="64" spans="1:65">
      <c r="A64" s="185"/>
      <c r="B64" s="162"/>
      <c r="C64" s="162"/>
      <c r="D64" s="243"/>
      <c r="E64" s="243"/>
      <c r="F64" s="243"/>
      <c r="G64" s="243"/>
      <c r="H64" s="185"/>
      <c r="I64" s="162"/>
      <c r="J64" s="162"/>
      <c r="K64" s="189"/>
      <c r="L64" s="162"/>
      <c r="M64" s="162" t="s">
        <v>234</v>
      </c>
      <c r="N64" s="162"/>
      <c r="O64" s="343">
        <v>2</v>
      </c>
      <c r="P64" s="343">
        <v>2</v>
      </c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208"/>
      <c r="AD64" s="162"/>
      <c r="AE64" s="162"/>
      <c r="AF64" s="208"/>
      <c r="AG64" s="208"/>
      <c r="AH64" s="162"/>
      <c r="AI64" s="162"/>
      <c r="AJ64" s="208"/>
      <c r="AK64" s="162"/>
      <c r="AL64" s="162"/>
      <c r="AM64" s="162"/>
      <c r="AN64" s="208"/>
      <c r="AO64" s="208"/>
      <c r="AP64" s="208"/>
      <c r="AQ64" s="162"/>
      <c r="AR64" s="208"/>
      <c r="AS64" s="162"/>
      <c r="AT64" s="208"/>
      <c r="AU64" s="162"/>
      <c r="AV64" s="162"/>
      <c r="AW64" s="162"/>
      <c r="AX64" s="162"/>
      <c r="AY64" s="162"/>
      <c r="AZ64" s="162"/>
      <c r="BA64" s="162"/>
      <c r="BB64" s="162"/>
      <c r="BC64" s="162"/>
      <c r="BD64" s="162"/>
      <c r="BE64" s="187"/>
      <c r="BF64" s="276"/>
      <c r="BG64" s="277"/>
      <c r="BH64" s="277"/>
      <c r="BI64" s="162"/>
      <c r="BJ64" s="162"/>
      <c r="BK64" s="162"/>
      <c r="BL64" s="162"/>
      <c r="BM64" s="162"/>
    </row>
    <row r="65" spans="1:65">
      <c r="A65" s="185"/>
      <c r="B65" s="162"/>
      <c r="C65" s="162"/>
      <c r="D65" s="243"/>
      <c r="E65" s="243"/>
      <c r="F65" s="243"/>
      <c r="G65" s="243"/>
      <c r="H65" s="185"/>
      <c r="I65" s="162"/>
      <c r="J65" s="162"/>
      <c r="K65" s="19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208"/>
      <c r="AD65" s="162"/>
      <c r="AE65" s="162"/>
      <c r="AF65" s="208"/>
      <c r="AG65" s="208"/>
      <c r="AH65" s="162"/>
      <c r="AI65" s="162"/>
      <c r="AJ65" s="208"/>
      <c r="AK65" s="162"/>
      <c r="AL65" s="162"/>
      <c r="AM65" s="162"/>
      <c r="AN65" s="208"/>
      <c r="AO65" s="208"/>
      <c r="AP65" s="208"/>
      <c r="AQ65" s="162"/>
      <c r="AR65" s="208"/>
      <c r="AS65" s="162"/>
      <c r="AT65" s="208"/>
      <c r="AU65" s="162"/>
      <c r="AV65" s="162"/>
      <c r="AW65" s="162"/>
      <c r="AX65" s="162"/>
      <c r="AY65" s="162"/>
      <c r="AZ65" s="162"/>
      <c r="BA65" s="162"/>
      <c r="BB65" s="162"/>
      <c r="BC65" s="162"/>
      <c r="BD65" s="162"/>
      <c r="BE65" s="190"/>
      <c r="BF65" s="190"/>
      <c r="BG65" s="182"/>
      <c r="BH65" s="182"/>
      <c r="BI65" s="162"/>
      <c r="BJ65" s="162"/>
      <c r="BK65" s="162"/>
      <c r="BL65" s="162"/>
      <c r="BM65" s="162"/>
    </row>
    <row r="66" spans="1:65">
      <c r="A66" s="201"/>
      <c r="H66" s="201"/>
      <c r="K66" s="3"/>
      <c r="O66" t="s">
        <v>454</v>
      </c>
      <c r="P66" t="s">
        <v>455</v>
      </c>
    </row>
    <row r="67" spans="1:65">
      <c r="O67" s="344">
        <v>21</v>
      </c>
      <c r="P67" s="344">
        <v>29</v>
      </c>
    </row>
  </sheetData>
  <mergeCells count="29">
    <mergeCell ref="B1:F1"/>
    <mergeCell ref="B2:F2"/>
    <mergeCell ref="C3:E3"/>
    <mergeCell ref="J4:L4"/>
    <mergeCell ref="N4:R4"/>
    <mergeCell ref="AB4:AJ4"/>
    <mergeCell ref="AM4:AU4"/>
    <mergeCell ref="AW4:AX4"/>
    <mergeCell ref="BA4:BC4"/>
    <mergeCell ref="N5:R5"/>
    <mergeCell ref="S5:U5"/>
    <mergeCell ref="AB5:AC5"/>
    <mergeCell ref="AD5:AF5"/>
    <mergeCell ref="AG5:AJ5"/>
    <mergeCell ref="AM5:AN5"/>
    <mergeCell ref="S4:U4"/>
    <mergeCell ref="AB6:AC6"/>
    <mergeCell ref="AD6:AF6"/>
    <mergeCell ref="AI6:AJ6"/>
    <mergeCell ref="AM6:AN6"/>
    <mergeCell ref="AQ6:AR6"/>
    <mergeCell ref="AW6:AX6"/>
    <mergeCell ref="BA6:BB6"/>
    <mergeCell ref="BK32:BK33"/>
    <mergeCell ref="AQ5:AR5"/>
    <mergeCell ref="AS5:AT5"/>
    <mergeCell ref="AW5:AX5"/>
    <mergeCell ref="BA5:BB5"/>
    <mergeCell ref="AS6:AT6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colBreaks count="4" manualBreakCount="4">
    <brk id="7" max="65" man="1"/>
    <brk id="21" max="65" man="1"/>
    <brk id="36" max="65" man="1"/>
    <brk id="50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L28"/>
  <sheetViews>
    <sheetView view="pageBreakPreview" zoomScaleSheetLayoutView="100" workbookViewId="0">
      <selection activeCell="A11" sqref="A11:BJ20"/>
    </sheetView>
  </sheetViews>
  <sheetFormatPr defaultRowHeight="15"/>
  <cols>
    <col min="1" max="1" width="3.85546875" customWidth="1"/>
    <col min="2" max="2" width="43.85546875" customWidth="1"/>
    <col min="3" max="3" width="29.7109375" customWidth="1"/>
    <col min="4" max="4" width="13.5703125" style="104" customWidth="1"/>
    <col min="5" max="5" width="27.140625" style="104" customWidth="1"/>
    <col min="6" max="6" width="15.7109375" style="104" customWidth="1"/>
    <col min="7" max="7" width="9.85546875" style="104" customWidth="1"/>
    <col min="8" max="8" width="5.140625" customWidth="1"/>
    <col min="9" max="9" width="42" customWidth="1"/>
    <col min="10" max="10" width="5.5703125" customWidth="1"/>
    <col min="11" max="11" width="10.7109375" customWidth="1"/>
    <col min="12" max="12" width="8.7109375" customWidth="1"/>
    <col min="13" max="13" width="8.5703125" customWidth="1"/>
    <col min="14" max="14" width="7.7109375" customWidth="1"/>
    <col min="15" max="15" width="7.5703125" customWidth="1"/>
    <col min="16" max="16" width="6.140625" customWidth="1"/>
    <col min="17" max="17" width="5.85546875" customWidth="1"/>
    <col min="18" max="18" width="9.28515625" customWidth="1"/>
    <col min="19" max="19" width="8.28515625" customWidth="1"/>
    <col min="20" max="20" width="9.42578125" customWidth="1"/>
    <col min="21" max="21" width="8.5703125" customWidth="1"/>
    <col min="22" max="22" width="4.140625" customWidth="1"/>
    <col min="23" max="23" width="42.42578125" customWidth="1"/>
    <col min="24" max="25" width="10.7109375" customWidth="1"/>
    <col min="26" max="26" width="10.42578125" customWidth="1"/>
    <col min="27" max="27" width="9.85546875" customWidth="1"/>
    <col min="28" max="28" width="7.42578125" customWidth="1"/>
    <col min="29" max="29" width="8.140625" style="202" customWidth="1"/>
    <col min="30" max="30" width="8.140625" customWidth="1"/>
    <col min="31" max="31" width="9.28515625" customWidth="1"/>
    <col min="32" max="32" width="9" style="202" customWidth="1"/>
    <col min="33" max="33" width="8" style="202" customWidth="1"/>
    <col min="34" max="34" width="8" customWidth="1"/>
    <col min="35" max="35" width="7.85546875" customWidth="1"/>
    <col min="36" max="36" width="7.28515625" style="202" customWidth="1"/>
    <col min="37" max="37" width="4" customWidth="1"/>
    <col min="38" max="38" width="47" customWidth="1"/>
    <col min="39" max="39" width="5" customWidth="1"/>
    <col min="40" max="41" width="5.28515625" style="202" customWidth="1"/>
    <col min="42" max="42" width="5.7109375" style="202" customWidth="1"/>
    <col min="43" max="43" width="5.5703125" customWidth="1"/>
    <col min="44" max="44" width="7.7109375" style="202" customWidth="1"/>
    <col min="45" max="45" width="7.85546875" customWidth="1"/>
    <col min="46" max="46" width="10.28515625" style="202" customWidth="1"/>
    <col min="47" max="47" width="7.7109375" customWidth="1"/>
    <col min="48" max="48" width="7.85546875" customWidth="1"/>
    <col min="49" max="49" width="5.42578125" customWidth="1"/>
    <col min="50" max="50" width="7.140625" customWidth="1"/>
    <col min="51" max="51" width="4.140625" customWidth="1"/>
    <col min="52" max="52" width="43" customWidth="1"/>
    <col min="53" max="53" width="6.42578125" customWidth="1"/>
    <col min="54" max="54" width="7" customWidth="1"/>
    <col min="55" max="55" width="6.7109375" customWidth="1"/>
    <col min="56" max="56" width="6.42578125" customWidth="1"/>
    <col min="57" max="57" width="8.140625" customWidth="1"/>
    <col min="58" max="58" width="7.5703125" customWidth="1"/>
    <col min="59" max="59" width="7.28515625" customWidth="1"/>
    <col min="60" max="60" width="6.140625" customWidth="1"/>
    <col min="61" max="61" width="7.7109375" customWidth="1"/>
    <col min="62" max="62" width="10.140625" customWidth="1"/>
  </cols>
  <sheetData>
    <row r="1" spans="1:64">
      <c r="A1" s="264"/>
      <c r="B1" s="449" t="s">
        <v>55</v>
      </c>
      <c r="C1" s="449"/>
      <c r="D1" s="449"/>
      <c r="E1" s="449"/>
      <c r="F1" s="449"/>
      <c r="G1" s="228"/>
      <c r="H1" s="263"/>
      <c r="I1" s="2"/>
      <c r="J1" s="2"/>
      <c r="K1" s="2"/>
    </row>
    <row r="2" spans="1:64">
      <c r="A2" s="264"/>
      <c r="B2" s="449" t="s">
        <v>359</v>
      </c>
      <c r="C2" s="449"/>
      <c r="D2" s="449"/>
      <c r="E2" s="449"/>
      <c r="F2" s="449"/>
      <c r="G2" s="228"/>
      <c r="H2" s="263"/>
      <c r="I2" s="2"/>
      <c r="J2" s="2"/>
      <c r="K2" s="2"/>
      <c r="R2" t="s">
        <v>36</v>
      </c>
      <c r="T2" s="262">
        <v>2</v>
      </c>
      <c r="AF2" s="202" t="s">
        <v>263</v>
      </c>
      <c r="AJ2" s="218">
        <v>3</v>
      </c>
      <c r="AV2" t="s">
        <v>261</v>
      </c>
      <c r="AY2" s="262"/>
      <c r="AZ2" s="262"/>
      <c r="BA2" s="262"/>
      <c r="BB2" s="262"/>
      <c r="BC2" s="262"/>
      <c r="BH2" t="s">
        <v>262</v>
      </c>
      <c r="BJ2" s="262"/>
    </row>
    <row r="3" spans="1:64">
      <c r="A3" s="264"/>
      <c r="B3" s="65"/>
      <c r="C3" s="454" t="s">
        <v>426</v>
      </c>
      <c r="D3" s="454"/>
      <c r="E3" s="454"/>
      <c r="F3" s="229"/>
      <c r="G3" s="228"/>
      <c r="H3" s="263"/>
      <c r="I3" s="2"/>
      <c r="J3" s="2"/>
    </row>
    <row r="4" spans="1:64">
      <c r="A4" s="326"/>
      <c r="B4" s="65"/>
      <c r="C4" s="331"/>
      <c r="D4" s="331"/>
      <c r="E4" s="331"/>
      <c r="F4" s="229"/>
      <c r="G4" s="228"/>
      <c r="H4" s="325"/>
      <c r="I4" s="2"/>
      <c r="J4" s="2"/>
    </row>
    <row r="5" spans="1:64" ht="18.75" customHeight="1">
      <c r="A5" s="11"/>
      <c r="B5" s="11"/>
      <c r="C5" s="17" t="s">
        <v>3</v>
      </c>
      <c r="D5" s="230" t="s">
        <v>8</v>
      </c>
      <c r="E5" s="230" t="s">
        <v>124</v>
      </c>
      <c r="F5" s="230" t="s">
        <v>149</v>
      </c>
      <c r="G5" s="231" t="s">
        <v>132</v>
      </c>
      <c r="H5" s="261"/>
      <c r="I5" s="11"/>
      <c r="J5" s="451" t="s">
        <v>17</v>
      </c>
      <c r="K5" s="452"/>
      <c r="L5" s="452"/>
      <c r="M5" s="20" t="s">
        <v>246</v>
      </c>
      <c r="N5" s="453" t="s">
        <v>25</v>
      </c>
      <c r="O5" s="447"/>
      <c r="P5" s="447"/>
      <c r="Q5" s="447"/>
      <c r="R5" s="448"/>
      <c r="S5" s="446" t="s">
        <v>180</v>
      </c>
      <c r="T5" s="447"/>
      <c r="U5" s="448"/>
      <c r="V5" s="4"/>
      <c r="W5" s="257"/>
      <c r="X5" s="255" t="s">
        <v>41</v>
      </c>
      <c r="Y5" s="17" t="s">
        <v>47</v>
      </c>
      <c r="Z5" s="24" t="s">
        <v>47</v>
      </c>
      <c r="AA5" s="17" t="s">
        <v>41</v>
      </c>
      <c r="AB5" s="427" t="s">
        <v>141</v>
      </c>
      <c r="AC5" s="427"/>
      <c r="AD5" s="427"/>
      <c r="AE5" s="427"/>
      <c r="AF5" s="427"/>
      <c r="AG5" s="427"/>
      <c r="AH5" s="427"/>
      <c r="AI5" s="427"/>
      <c r="AJ5" s="428"/>
      <c r="AK5" s="4"/>
      <c r="AL5" s="257"/>
      <c r="AM5" s="429" t="s">
        <v>141</v>
      </c>
      <c r="AN5" s="430"/>
      <c r="AO5" s="430"/>
      <c r="AP5" s="430"/>
      <c r="AQ5" s="430"/>
      <c r="AR5" s="430"/>
      <c r="AS5" s="430"/>
      <c r="AT5" s="430"/>
      <c r="AU5" s="431"/>
      <c r="AV5" s="255" t="s">
        <v>182</v>
      </c>
      <c r="AW5" s="432" t="s">
        <v>252</v>
      </c>
      <c r="AX5" s="433"/>
      <c r="AY5" s="36"/>
      <c r="AZ5" s="257"/>
      <c r="BA5" s="434" t="s">
        <v>253</v>
      </c>
      <c r="BB5" s="435"/>
      <c r="BC5" s="436"/>
      <c r="BD5" s="256" t="s">
        <v>33</v>
      </c>
      <c r="BE5" s="261" t="s">
        <v>41</v>
      </c>
      <c r="BF5" s="256" t="s">
        <v>45</v>
      </c>
      <c r="BG5" s="88" t="s">
        <v>169</v>
      </c>
      <c r="BH5" s="123" t="s">
        <v>258</v>
      </c>
      <c r="BI5" s="17" t="s">
        <v>56</v>
      </c>
      <c r="BJ5" s="17" t="s">
        <v>191</v>
      </c>
    </row>
    <row r="6" spans="1:64">
      <c r="A6" s="12" t="s">
        <v>12</v>
      </c>
      <c r="B6" s="12" t="s">
        <v>0</v>
      </c>
      <c r="C6" s="18" t="s">
        <v>4</v>
      </c>
      <c r="D6" s="232" t="s">
        <v>129</v>
      </c>
      <c r="E6" s="233" t="s">
        <v>125</v>
      </c>
      <c r="F6" s="233" t="s">
        <v>150</v>
      </c>
      <c r="G6" s="234" t="s">
        <v>133</v>
      </c>
      <c r="H6" s="28" t="s">
        <v>12</v>
      </c>
      <c r="I6" s="12" t="s">
        <v>0</v>
      </c>
      <c r="J6" s="23" t="s">
        <v>22</v>
      </c>
      <c r="K6" s="20" t="s">
        <v>19</v>
      </c>
      <c r="L6" s="20" t="s">
        <v>19</v>
      </c>
      <c r="M6" s="23" t="s">
        <v>15</v>
      </c>
      <c r="N6" s="437" t="s">
        <v>136</v>
      </c>
      <c r="O6" s="438"/>
      <c r="P6" s="438"/>
      <c r="Q6" s="438"/>
      <c r="R6" s="439"/>
      <c r="S6" s="440" t="s">
        <v>181</v>
      </c>
      <c r="T6" s="438"/>
      <c r="U6" s="439"/>
      <c r="V6" s="5" t="s">
        <v>12</v>
      </c>
      <c r="W6" s="26" t="s">
        <v>0</v>
      </c>
      <c r="X6" s="259" t="s">
        <v>42</v>
      </c>
      <c r="Y6" s="18" t="s">
        <v>19</v>
      </c>
      <c r="Z6" s="25" t="s">
        <v>171</v>
      </c>
      <c r="AA6" s="18" t="s">
        <v>42</v>
      </c>
      <c r="AB6" s="441" t="s">
        <v>34</v>
      </c>
      <c r="AC6" s="441"/>
      <c r="AD6" s="421" t="s">
        <v>250</v>
      </c>
      <c r="AE6" s="442"/>
      <c r="AF6" s="442"/>
      <c r="AG6" s="443" t="s">
        <v>163</v>
      </c>
      <c r="AH6" s="444"/>
      <c r="AI6" s="444"/>
      <c r="AJ6" s="445"/>
      <c r="AK6" s="37" t="s">
        <v>12</v>
      </c>
      <c r="AL6" s="12" t="s">
        <v>0</v>
      </c>
      <c r="AM6" s="423" t="s">
        <v>71</v>
      </c>
      <c r="AN6" s="424"/>
      <c r="AO6" s="204" t="s">
        <v>243</v>
      </c>
      <c r="AP6" s="210" t="s">
        <v>187</v>
      </c>
      <c r="AQ6" s="413" t="s">
        <v>405</v>
      </c>
      <c r="AR6" s="414"/>
      <c r="AS6" s="415" t="s">
        <v>157</v>
      </c>
      <c r="AT6" s="416"/>
      <c r="AU6" s="259" t="s">
        <v>33</v>
      </c>
      <c r="AV6" s="259" t="s">
        <v>173</v>
      </c>
      <c r="AW6" s="415" t="s">
        <v>251</v>
      </c>
      <c r="AX6" s="416"/>
      <c r="AY6" s="37" t="s">
        <v>12</v>
      </c>
      <c r="AZ6" s="26" t="s">
        <v>0</v>
      </c>
      <c r="BA6" s="415" t="s">
        <v>254</v>
      </c>
      <c r="BB6" s="416"/>
      <c r="BC6" s="17" t="s">
        <v>256</v>
      </c>
      <c r="BD6" s="260" t="s">
        <v>37</v>
      </c>
      <c r="BE6" s="28" t="s">
        <v>167</v>
      </c>
      <c r="BF6" s="260" t="s">
        <v>44</v>
      </c>
      <c r="BG6" s="89" t="s">
        <v>168</v>
      </c>
      <c r="BH6" s="124" t="s">
        <v>259</v>
      </c>
      <c r="BI6" s="18" t="s">
        <v>190</v>
      </c>
      <c r="BJ6" s="18" t="s">
        <v>51</v>
      </c>
    </row>
    <row r="7" spans="1:64">
      <c r="A7" s="12" t="s">
        <v>13</v>
      </c>
      <c r="B7" s="12" t="s">
        <v>1</v>
      </c>
      <c r="C7" s="18" t="s">
        <v>5</v>
      </c>
      <c r="D7" s="232" t="s">
        <v>9</v>
      </c>
      <c r="E7" s="233" t="s">
        <v>126</v>
      </c>
      <c r="F7" s="233" t="s">
        <v>151</v>
      </c>
      <c r="G7" s="234" t="s">
        <v>134</v>
      </c>
      <c r="H7" s="28" t="s">
        <v>13</v>
      </c>
      <c r="I7" s="12" t="s">
        <v>1</v>
      </c>
      <c r="J7" s="23" t="s">
        <v>137</v>
      </c>
      <c r="K7" s="23" t="s">
        <v>20</v>
      </c>
      <c r="L7" s="23" t="s">
        <v>23</v>
      </c>
      <c r="M7" s="66" t="s">
        <v>18</v>
      </c>
      <c r="N7" s="67" t="s">
        <v>30</v>
      </c>
      <c r="O7" s="68" t="s">
        <v>31</v>
      </c>
      <c r="P7" s="69" t="s">
        <v>32</v>
      </c>
      <c r="Q7" s="23" t="s">
        <v>66</v>
      </c>
      <c r="R7" s="21" t="s">
        <v>248</v>
      </c>
      <c r="S7" s="18" t="s">
        <v>30</v>
      </c>
      <c r="T7" s="18" t="s">
        <v>31</v>
      </c>
      <c r="U7" s="18" t="s">
        <v>32</v>
      </c>
      <c r="V7" s="37" t="s">
        <v>13</v>
      </c>
      <c r="W7" s="26" t="s">
        <v>1</v>
      </c>
      <c r="X7" s="259" t="s">
        <v>76</v>
      </c>
      <c r="Y7" s="18" t="s">
        <v>66</v>
      </c>
      <c r="Z7" s="83" t="s">
        <v>172</v>
      </c>
      <c r="AA7" s="18" t="s">
        <v>114</v>
      </c>
      <c r="AB7" s="417" t="s">
        <v>145</v>
      </c>
      <c r="AC7" s="417"/>
      <c r="AD7" s="418" t="s">
        <v>35</v>
      </c>
      <c r="AE7" s="419"/>
      <c r="AF7" s="420"/>
      <c r="AG7" s="204" t="s">
        <v>164</v>
      </c>
      <c r="AH7" s="72" t="s">
        <v>176</v>
      </c>
      <c r="AI7" s="421" t="s">
        <v>72</v>
      </c>
      <c r="AJ7" s="422"/>
      <c r="AK7" s="37" t="s">
        <v>13</v>
      </c>
      <c r="AL7" s="12" t="s">
        <v>1</v>
      </c>
      <c r="AM7" s="423" t="s">
        <v>242</v>
      </c>
      <c r="AN7" s="424"/>
      <c r="AO7" s="204" t="s">
        <v>148</v>
      </c>
      <c r="AP7" s="210" t="s">
        <v>68</v>
      </c>
      <c r="AQ7" s="425"/>
      <c r="AR7" s="426"/>
      <c r="AS7" s="415" t="s">
        <v>158</v>
      </c>
      <c r="AT7" s="416"/>
      <c r="AU7" s="259" t="s">
        <v>37</v>
      </c>
      <c r="AV7" s="259" t="s">
        <v>123</v>
      </c>
      <c r="AW7" s="409" t="s">
        <v>400</v>
      </c>
      <c r="AX7" s="410"/>
      <c r="AY7" s="37" t="s">
        <v>13</v>
      </c>
      <c r="AZ7" s="26" t="s">
        <v>1</v>
      </c>
      <c r="BA7" s="409" t="s">
        <v>255</v>
      </c>
      <c r="BB7" s="410"/>
      <c r="BC7" s="18" t="s">
        <v>199</v>
      </c>
      <c r="BD7" s="260" t="s">
        <v>161</v>
      </c>
      <c r="BE7" s="28" t="s">
        <v>114</v>
      </c>
      <c r="BF7" s="260" t="s">
        <v>43</v>
      </c>
      <c r="BG7" s="89" t="s">
        <v>139</v>
      </c>
      <c r="BH7" s="124" t="s">
        <v>219</v>
      </c>
      <c r="BI7" s="18" t="s">
        <v>58</v>
      </c>
      <c r="BJ7" s="18" t="s">
        <v>52</v>
      </c>
    </row>
    <row r="8" spans="1:64">
      <c r="A8" s="12"/>
      <c r="B8" s="13" t="s">
        <v>2</v>
      </c>
      <c r="C8" s="25" t="s">
        <v>6</v>
      </c>
      <c r="D8" s="232" t="s">
        <v>130</v>
      </c>
      <c r="E8" s="233" t="s">
        <v>127</v>
      </c>
      <c r="F8" s="233" t="s">
        <v>10</v>
      </c>
      <c r="G8" s="234" t="s">
        <v>135</v>
      </c>
      <c r="H8" s="28"/>
      <c r="I8" s="13" t="s">
        <v>2</v>
      </c>
      <c r="J8" s="23" t="s">
        <v>138</v>
      </c>
      <c r="K8" s="23" t="s">
        <v>59</v>
      </c>
      <c r="L8" s="23" t="s">
        <v>24</v>
      </c>
      <c r="M8" s="66" t="s">
        <v>204</v>
      </c>
      <c r="N8" s="67" t="s">
        <v>26</v>
      </c>
      <c r="O8" s="68" t="s">
        <v>26</v>
      </c>
      <c r="P8" s="69" t="s">
        <v>26</v>
      </c>
      <c r="Q8" s="23" t="s">
        <v>67</v>
      </c>
      <c r="R8" s="21" t="s">
        <v>249</v>
      </c>
      <c r="S8" s="18" t="s">
        <v>26</v>
      </c>
      <c r="T8" s="18" t="s">
        <v>26</v>
      </c>
      <c r="U8" s="18" t="s">
        <v>26</v>
      </c>
      <c r="V8" s="37"/>
      <c r="W8" s="71" t="s">
        <v>2</v>
      </c>
      <c r="X8" s="84" t="s">
        <v>170</v>
      </c>
      <c r="Y8" s="18" t="s">
        <v>142</v>
      </c>
      <c r="Z8" s="18" t="s">
        <v>69</v>
      </c>
      <c r="AA8" s="18" t="s">
        <v>183</v>
      </c>
      <c r="AB8" s="78" t="s">
        <v>146</v>
      </c>
      <c r="AC8" s="203" t="s">
        <v>61</v>
      </c>
      <c r="AD8" s="22" t="s">
        <v>147</v>
      </c>
      <c r="AE8" s="20" t="s">
        <v>146</v>
      </c>
      <c r="AF8" s="209" t="s">
        <v>205</v>
      </c>
      <c r="AG8" s="204" t="s">
        <v>165</v>
      </c>
      <c r="AH8" s="23" t="s">
        <v>177</v>
      </c>
      <c r="AI8" s="20" t="s">
        <v>146</v>
      </c>
      <c r="AJ8" s="203" t="s">
        <v>61</v>
      </c>
      <c r="AK8" s="37"/>
      <c r="AL8" s="13" t="s">
        <v>2</v>
      </c>
      <c r="AM8" s="113" t="s">
        <v>206</v>
      </c>
      <c r="AN8" s="213" t="s">
        <v>205</v>
      </c>
      <c r="AO8" s="204" t="s">
        <v>185</v>
      </c>
      <c r="AP8" s="210" t="s">
        <v>189</v>
      </c>
      <c r="AQ8" s="20" t="s">
        <v>146</v>
      </c>
      <c r="AR8" s="203" t="s">
        <v>61</v>
      </c>
      <c r="AS8" s="20" t="s">
        <v>146</v>
      </c>
      <c r="AT8" s="203" t="s">
        <v>61</v>
      </c>
      <c r="AU8" s="259" t="s">
        <v>162</v>
      </c>
      <c r="AV8" s="18" t="s">
        <v>174</v>
      </c>
      <c r="AW8" s="86" t="s">
        <v>146</v>
      </c>
      <c r="AX8" s="23" t="s">
        <v>61</v>
      </c>
      <c r="AY8" s="5"/>
      <c r="AZ8" s="71" t="s">
        <v>2</v>
      </c>
      <c r="BA8" s="121" t="s">
        <v>146</v>
      </c>
      <c r="BB8" s="23" t="s">
        <v>61</v>
      </c>
      <c r="BC8" s="25" t="s">
        <v>39</v>
      </c>
      <c r="BD8" s="260" t="s">
        <v>38</v>
      </c>
      <c r="BE8" s="28" t="s">
        <v>208</v>
      </c>
      <c r="BF8" s="260" t="s">
        <v>46</v>
      </c>
      <c r="BG8" s="89" t="s">
        <v>76</v>
      </c>
      <c r="BH8" s="124" t="s">
        <v>260</v>
      </c>
      <c r="BI8" s="18" t="s">
        <v>57</v>
      </c>
      <c r="BJ8" s="18" t="s">
        <v>53</v>
      </c>
    </row>
    <row r="9" spans="1:64">
      <c r="A9" s="14"/>
      <c r="B9" s="14"/>
      <c r="C9" s="14"/>
      <c r="D9" s="235" t="s">
        <v>131</v>
      </c>
      <c r="E9" s="235" t="s">
        <v>128</v>
      </c>
      <c r="F9" s="236" t="s">
        <v>11</v>
      </c>
      <c r="G9" s="235" t="s">
        <v>140</v>
      </c>
      <c r="H9" s="28"/>
      <c r="I9" s="12"/>
      <c r="J9" s="23" t="s">
        <v>21</v>
      </c>
      <c r="K9" s="23" t="s">
        <v>28</v>
      </c>
      <c r="L9" s="23" t="s">
        <v>9</v>
      </c>
      <c r="M9" s="66" t="s">
        <v>29</v>
      </c>
      <c r="N9" s="67"/>
      <c r="O9" s="68"/>
      <c r="P9" s="69"/>
      <c r="Q9" s="23"/>
      <c r="R9" s="21" t="s">
        <v>70</v>
      </c>
      <c r="S9" s="18"/>
      <c r="T9" s="18"/>
      <c r="U9" s="18"/>
      <c r="V9" s="37"/>
      <c r="W9" s="26"/>
      <c r="X9" s="259" t="s">
        <v>73</v>
      </c>
      <c r="Y9" s="19" t="s">
        <v>143</v>
      </c>
      <c r="Z9" s="19" t="s">
        <v>70</v>
      </c>
      <c r="AA9" s="19" t="s">
        <v>184</v>
      </c>
      <c r="AB9" s="22" t="s">
        <v>144</v>
      </c>
      <c r="AC9" s="204" t="s">
        <v>62</v>
      </c>
      <c r="AD9" s="22" t="s">
        <v>102</v>
      </c>
      <c r="AE9" s="23" t="s">
        <v>144</v>
      </c>
      <c r="AF9" s="210" t="s">
        <v>62</v>
      </c>
      <c r="AG9" s="211"/>
      <c r="AH9" s="70" t="s">
        <v>178</v>
      </c>
      <c r="AI9" s="70" t="s">
        <v>179</v>
      </c>
      <c r="AJ9" s="204" t="s">
        <v>62</v>
      </c>
      <c r="AK9" s="37"/>
      <c r="AL9" s="12"/>
      <c r="AM9" s="114" t="s">
        <v>207</v>
      </c>
      <c r="AN9" s="214"/>
      <c r="AO9" s="211" t="s">
        <v>186</v>
      </c>
      <c r="AP9" s="210" t="s">
        <v>188</v>
      </c>
      <c r="AQ9" s="23" t="s">
        <v>179</v>
      </c>
      <c r="AR9" s="204" t="s">
        <v>62</v>
      </c>
      <c r="AS9" s="23" t="s">
        <v>179</v>
      </c>
      <c r="AT9" s="204"/>
      <c r="AU9" s="259" t="s">
        <v>38</v>
      </c>
      <c r="AV9" s="19" t="s">
        <v>175</v>
      </c>
      <c r="AW9" s="86" t="s">
        <v>144</v>
      </c>
      <c r="AX9" s="70"/>
      <c r="AY9" s="6"/>
      <c r="AZ9" s="26"/>
      <c r="BA9" s="122" t="s">
        <v>257</v>
      </c>
      <c r="BB9" s="70"/>
      <c r="BC9" s="19" t="s">
        <v>40</v>
      </c>
      <c r="BD9" s="258"/>
      <c r="BE9" s="16" t="s">
        <v>209</v>
      </c>
      <c r="BF9" s="260"/>
      <c r="BG9" s="89"/>
      <c r="BH9" s="13"/>
      <c r="BI9" s="18" t="s">
        <v>53</v>
      </c>
      <c r="BJ9" s="260" t="s">
        <v>54</v>
      </c>
    </row>
    <row r="10" spans="1:64">
      <c r="A10" s="105">
        <v>0</v>
      </c>
      <c r="B10" s="105">
        <v>1</v>
      </c>
      <c r="C10" s="105">
        <v>2</v>
      </c>
      <c r="D10" s="237">
        <v>3</v>
      </c>
      <c r="E10" s="237">
        <v>4</v>
      </c>
      <c r="F10" s="237">
        <v>5</v>
      </c>
      <c r="G10" s="237">
        <v>6</v>
      </c>
      <c r="H10" s="105"/>
      <c r="I10" s="10"/>
      <c r="J10" s="105">
        <v>11</v>
      </c>
      <c r="K10" s="105">
        <v>12</v>
      </c>
      <c r="L10" s="105">
        <v>13</v>
      </c>
      <c r="M10" s="105">
        <v>14</v>
      </c>
      <c r="N10" s="27">
        <v>15</v>
      </c>
      <c r="O10" s="27">
        <v>16</v>
      </c>
      <c r="P10" s="27">
        <v>17</v>
      </c>
      <c r="Q10" s="27">
        <v>18</v>
      </c>
      <c r="R10" s="27">
        <v>19</v>
      </c>
      <c r="S10" s="105">
        <v>20</v>
      </c>
      <c r="T10" s="105">
        <v>21</v>
      </c>
      <c r="U10" s="105">
        <v>22</v>
      </c>
      <c r="V10" s="105"/>
      <c r="W10" s="105"/>
      <c r="X10" s="105">
        <v>23</v>
      </c>
      <c r="Y10" s="27">
        <v>24</v>
      </c>
      <c r="Z10" s="27">
        <v>25</v>
      </c>
      <c r="AA10" s="27">
        <v>26</v>
      </c>
      <c r="AB10" s="27">
        <v>27</v>
      </c>
      <c r="AC10" s="205">
        <v>28</v>
      </c>
      <c r="AD10" s="27">
        <v>29</v>
      </c>
      <c r="AE10" s="27">
        <v>30</v>
      </c>
      <c r="AF10" s="205">
        <v>31</v>
      </c>
      <c r="AG10" s="212">
        <v>32</v>
      </c>
      <c r="AH10" s="19">
        <v>33</v>
      </c>
      <c r="AI10" s="19">
        <v>34</v>
      </c>
      <c r="AJ10" s="205">
        <v>35</v>
      </c>
      <c r="AK10" s="105"/>
      <c r="AL10" s="105"/>
      <c r="AM10" s="105">
        <v>7</v>
      </c>
      <c r="AN10" s="205">
        <v>8</v>
      </c>
      <c r="AO10" s="205">
        <v>9</v>
      </c>
      <c r="AP10" s="205">
        <v>10</v>
      </c>
      <c r="AQ10" s="105">
        <v>11</v>
      </c>
      <c r="AR10" s="205">
        <v>12</v>
      </c>
      <c r="AS10" s="105">
        <v>13</v>
      </c>
      <c r="AT10" s="205">
        <v>14</v>
      </c>
      <c r="AU10" s="105">
        <v>15</v>
      </c>
      <c r="AV10" s="105">
        <v>16</v>
      </c>
      <c r="AW10" s="105">
        <v>17</v>
      </c>
      <c r="AX10" s="105">
        <v>18</v>
      </c>
      <c r="AY10" s="105"/>
      <c r="AZ10" s="105"/>
      <c r="BA10" s="105">
        <v>19</v>
      </c>
      <c r="BB10" s="105">
        <v>20</v>
      </c>
      <c r="BC10" s="105">
        <v>21</v>
      </c>
      <c r="BD10" s="19">
        <v>22</v>
      </c>
      <c r="BE10" s="105">
        <v>23</v>
      </c>
      <c r="BF10" s="105">
        <v>24</v>
      </c>
      <c r="BG10" s="105">
        <v>25</v>
      </c>
      <c r="BH10" s="105">
        <v>26</v>
      </c>
      <c r="BI10" s="105">
        <v>27</v>
      </c>
      <c r="BJ10" s="105">
        <v>28</v>
      </c>
      <c r="BK10" s="35"/>
      <c r="BL10" s="35"/>
    </row>
    <row r="11" spans="1:64" s="162" customFormat="1" ht="15.75">
      <c r="A11" s="168">
        <v>1</v>
      </c>
      <c r="B11" s="157" t="s">
        <v>285</v>
      </c>
      <c r="C11" s="157" t="s">
        <v>445</v>
      </c>
      <c r="D11" s="239">
        <v>32</v>
      </c>
      <c r="E11" s="239"/>
      <c r="F11" s="239" t="s">
        <v>372</v>
      </c>
      <c r="G11" s="239">
        <v>11280</v>
      </c>
      <c r="H11" s="168">
        <v>1</v>
      </c>
      <c r="I11" s="157" t="s">
        <v>285</v>
      </c>
      <c r="J11" s="158"/>
      <c r="K11" s="158">
        <v>0.25</v>
      </c>
      <c r="L11" s="158">
        <v>0.13</v>
      </c>
      <c r="M11" s="159">
        <f t="shared" ref="M11:M20" si="0">G11*(1+J11)*(1+K11+L11)</f>
        <v>15566.4</v>
      </c>
      <c r="N11" s="158"/>
      <c r="O11" s="158">
        <v>20</v>
      </c>
      <c r="P11" s="158"/>
      <c r="Q11" s="158"/>
      <c r="R11" s="158"/>
      <c r="S11" s="159">
        <f t="shared" ref="S11:S14" si="1">M11*N11/18</f>
        <v>0</v>
      </c>
      <c r="T11" s="159">
        <f t="shared" ref="T11:T14" si="2">M11*O11/18</f>
        <v>17296</v>
      </c>
      <c r="U11" s="159">
        <f t="shared" ref="U11:U14" si="3">M11*P11/18</f>
        <v>0</v>
      </c>
      <c r="V11" s="168">
        <v>1</v>
      </c>
      <c r="W11" s="157" t="s">
        <v>285</v>
      </c>
      <c r="X11" s="160">
        <f t="shared" ref="X11:X14" si="4">S11+T11+U11</f>
        <v>17296</v>
      </c>
      <c r="Y11" s="159">
        <f t="shared" ref="Y11:Y14" si="5">M11*Q11/18</f>
        <v>0</v>
      </c>
      <c r="Z11" s="159">
        <f t="shared" ref="Z11:Z14" si="6">G11*(1+J11)*(1+K11+0.2)*R11/18</f>
        <v>0</v>
      </c>
      <c r="AA11" s="159">
        <f t="shared" ref="AA11:AA14" si="7">X11+Y11+Z11</f>
        <v>17296</v>
      </c>
      <c r="AB11" s="169"/>
      <c r="AC11" s="206">
        <f t="shared" ref="AC11:AC13" si="8">M11*AB11/100</f>
        <v>0</v>
      </c>
      <c r="AD11" s="159">
        <v>19</v>
      </c>
      <c r="AE11" s="169">
        <v>3</v>
      </c>
      <c r="AF11" s="206">
        <f t="shared" ref="AF11:AF19" si="9">(M11*AD11/18)*AE11/100</f>
        <v>492.93599999999992</v>
      </c>
      <c r="AG11" s="206"/>
      <c r="AH11" s="159"/>
      <c r="AI11" s="158"/>
      <c r="AJ11" s="206">
        <f>M11*AI11/100</f>
        <v>0</v>
      </c>
      <c r="AK11" s="168">
        <v>1</v>
      </c>
      <c r="AL11" s="157" t="s">
        <v>285</v>
      </c>
      <c r="AM11" s="283"/>
      <c r="AN11" s="215"/>
      <c r="AO11" s="219"/>
      <c r="AP11" s="216"/>
      <c r="AQ11" s="169"/>
      <c r="AR11" s="206">
        <f t="shared" ref="AR11:AR14" si="10">M11*AQ11/100</f>
        <v>0</v>
      </c>
      <c r="AS11" s="169"/>
      <c r="AT11" s="216"/>
      <c r="AU11" s="159">
        <f t="shared" ref="AU11:AU14" si="11">AC11+AF11+AG11+AH11+AJ11+AN11+AO11+AP11+AR11+AT11</f>
        <v>492.93599999999992</v>
      </c>
      <c r="AV11" s="159">
        <f t="shared" ref="AV11:AV14" si="12">AA11+AU11</f>
        <v>17788.936000000002</v>
      </c>
      <c r="AW11" s="159"/>
      <c r="AX11" s="159">
        <f t="shared" ref="AX11:AX14" si="13">AV11*AW11/100</f>
        <v>0</v>
      </c>
      <c r="AY11" s="168">
        <v>1</v>
      </c>
      <c r="AZ11" s="157" t="s">
        <v>285</v>
      </c>
      <c r="BA11" s="281">
        <v>0.05</v>
      </c>
      <c r="BB11" s="171">
        <f>M11*BA11</f>
        <v>778.32</v>
      </c>
      <c r="BC11" s="160"/>
      <c r="BD11" s="159">
        <f t="shared" ref="BD11:BD14" si="14">AX11+BB11+BC11</f>
        <v>778.32</v>
      </c>
      <c r="BE11" s="159">
        <f t="shared" ref="BE11:BE14" si="15">AV11+BD11</f>
        <v>18567.256000000001</v>
      </c>
      <c r="BF11" s="159">
        <f t="shared" ref="BF11:BF14" si="16">BE11*0.15</f>
        <v>2785.0884000000001</v>
      </c>
      <c r="BG11" s="161">
        <f t="shared" ref="BG11:BG14" si="17">BE11+BF11</f>
        <v>21352.344400000002</v>
      </c>
      <c r="BH11" s="172">
        <f>N11+O11</f>
        <v>20</v>
      </c>
      <c r="BI11" s="173">
        <f t="shared" ref="BI11:BI20" si="18">BH11/18</f>
        <v>1.1111111111111112</v>
      </c>
      <c r="BJ11" s="278">
        <v>1</v>
      </c>
      <c r="BK11" s="174"/>
      <c r="BL11" s="174"/>
    </row>
    <row r="12" spans="1:64" s="166" customFormat="1" ht="15.75">
      <c r="A12" s="168">
        <v>2</v>
      </c>
      <c r="B12" s="165" t="s">
        <v>448</v>
      </c>
      <c r="C12" s="157" t="s">
        <v>293</v>
      </c>
      <c r="D12" s="238">
        <v>3</v>
      </c>
      <c r="E12" s="238"/>
      <c r="F12" s="239" t="s">
        <v>372</v>
      </c>
      <c r="G12" s="239">
        <v>11280</v>
      </c>
      <c r="H12" s="168">
        <v>2</v>
      </c>
      <c r="I12" s="165" t="s">
        <v>448</v>
      </c>
      <c r="J12" s="158"/>
      <c r="K12" s="158">
        <v>0.25</v>
      </c>
      <c r="L12" s="158">
        <v>0.13</v>
      </c>
      <c r="M12" s="159">
        <f t="shared" si="0"/>
        <v>15566.4</v>
      </c>
      <c r="N12" s="158"/>
      <c r="O12" s="158">
        <v>4</v>
      </c>
      <c r="P12" s="158"/>
      <c r="Q12" s="158"/>
      <c r="R12" s="158"/>
      <c r="S12" s="159">
        <f t="shared" si="1"/>
        <v>0</v>
      </c>
      <c r="T12" s="159">
        <f t="shared" si="2"/>
        <v>3459.2</v>
      </c>
      <c r="U12" s="159">
        <f t="shared" si="3"/>
        <v>0</v>
      </c>
      <c r="V12" s="168">
        <v>2</v>
      </c>
      <c r="W12" s="165" t="s">
        <v>448</v>
      </c>
      <c r="X12" s="160">
        <f t="shared" si="4"/>
        <v>3459.2</v>
      </c>
      <c r="Y12" s="159">
        <f t="shared" si="5"/>
        <v>0</v>
      </c>
      <c r="Z12" s="159">
        <f t="shared" si="6"/>
        <v>0</v>
      </c>
      <c r="AA12" s="159">
        <f t="shared" si="7"/>
        <v>3459.2</v>
      </c>
      <c r="AB12" s="169"/>
      <c r="AC12" s="206">
        <f t="shared" si="8"/>
        <v>0</v>
      </c>
      <c r="AD12" s="159">
        <v>4</v>
      </c>
      <c r="AE12" s="169">
        <v>1.5</v>
      </c>
      <c r="AF12" s="206">
        <f t="shared" si="9"/>
        <v>51.887999999999991</v>
      </c>
      <c r="AG12" s="206"/>
      <c r="AH12" s="159"/>
      <c r="AI12" s="158"/>
      <c r="AJ12" s="206"/>
      <c r="AK12" s="168">
        <v>2</v>
      </c>
      <c r="AL12" s="165" t="s">
        <v>448</v>
      </c>
      <c r="AM12" s="176"/>
      <c r="AN12" s="215"/>
      <c r="AO12" s="216"/>
      <c r="AP12" s="216"/>
      <c r="AQ12" s="169"/>
      <c r="AR12" s="206">
        <f t="shared" si="10"/>
        <v>0</v>
      </c>
      <c r="AS12" s="159"/>
      <c r="AT12" s="206">
        <f t="shared" ref="AT12" si="19">(M12*AD12/18)*AS12/100</f>
        <v>0</v>
      </c>
      <c r="AU12" s="159">
        <f t="shared" si="11"/>
        <v>51.887999999999991</v>
      </c>
      <c r="AV12" s="159">
        <f t="shared" si="12"/>
        <v>3511.0879999999997</v>
      </c>
      <c r="AW12" s="159">
        <v>10</v>
      </c>
      <c r="AX12" s="159">
        <f t="shared" si="13"/>
        <v>351.10879999999997</v>
      </c>
      <c r="AY12" s="168">
        <v>2</v>
      </c>
      <c r="AZ12" s="165" t="s">
        <v>448</v>
      </c>
      <c r="BA12" s="165">
        <v>0.02</v>
      </c>
      <c r="BB12" s="171">
        <f>M12*BA12/18*BH12</f>
        <v>69.183999999999997</v>
      </c>
      <c r="BC12" s="160"/>
      <c r="BD12" s="159">
        <f t="shared" si="14"/>
        <v>420.29279999999994</v>
      </c>
      <c r="BE12" s="159">
        <f t="shared" si="15"/>
        <v>3931.3807999999999</v>
      </c>
      <c r="BF12" s="159">
        <f t="shared" si="16"/>
        <v>589.70711999999992</v>
      </c>
      <c r="BG12" s="161">
        <f t="shared" si="17"/>
        <v>4521.0879199999999</v>
      </c>
      <c r="BH12" s="172">
        <f t="shared" ref="BH12:BH20" si="20">N12+O12</f>
        <v>4</v>
      </c>
      <c r="BI12" s="173">
        <f t="shared" si="18"/>
        <v>0.22222222222222221</v>
      </c>
      <c r="BJ12" s="278">
        <f t="shared" ref="BJ12" si="21">BI12</f>
        <v>0.22222222222222221</v>
      </c>
      <c r="BK12" s="245"/>
      <c r="BL12" s="245"/>
    </row>
    <row r="13" spans="1:64" s="166" customFormat="1" ht="15.75">
      <c r="A13" s="168">
        <v>3</v>
      </c>
      <c r="B13" s="157" t="s">
        <v>323</v>
      </c>
      <c r="C13" s="157" t="s">
        <v>422</v>
      </c>
      <c r="D13" s="239">
        <v>9</v>
      </c>
      <c r="E13" s="239"/>
      <c r="F13" s="239" t="s">
        <v>372</v>
      </c>
      <c r="G13" s="239">
        <v>11280</v>
      </c>
      <c r="H13" s="168">
        <v>3</v>
      </c>
      <c r="I13" s="157" t="s">
        <v>323</v>
      </c>
      <c r="J13" s="158"/>
      <c r="K13" s="158">
        <v>0.25</v>
      </c>
      <c r="L13" s="158">
        <v>0.13</v>
      </c>
      <c r="M13" s="159">
        <f t="shared" si="0"/>
        <v>15566.4</v>
      </c>
      <c r="N13" s="158"/>
      <c r="O13" s="158">
        <v>6</v>
      </c>
      <c r="P13" s="158"/>
      <c r="Q13" s="158"/>
      <c r="R13" s="158"/>
      <c r="S13" s="159">
        <f t="shared" si="1"/>
        <v>0</v>
      </c>
      <c r="T13" s="159">
        <f t="shared" si="2"/>
        <v>5188.7999999999993</v>
      </c>
      <c r="U13" s="159">
        <f t="shared" si="3"/>
        <v>0</v>
      </c>
      <c r="V13" s="168">
        <v>3</v>
      </c>
      <c r="W13" s="157" t="s">
        <v>323</v>
      </c>
      <c r="X13" s="160">
        <f t="shared" si="4"/>
        <v>5188.7999999999993</v>
      </c>
      <c r="Y13" s="159">
        <f t="shared" si="5"/>
        <v>0</v>
      </c>
      <c r="Z13" s="159">
        <f t="shared" si="6"/>
        <v>0</v>
      </c>
      <c r="AA13" s="159">
        <f t="shared" si="7"/>
        <v>5188.7999999999993</v>
      </c>
      <c r="AB13" s="169"/>
      <c r="AC13" s="206">
        <f t="shared" si="8"/>
        <v>0</v>
      </c>
      <c r="AD13" s="159"/>
      <c r="AE13" s="169"/>
      <c r="AF13" s="206">
        <f t="shared" si="9"/>
        <v>0</v>
      </c>
      <c r="AG13" s="206"/>
      <c r="AH13" s="159"/>
      <c r="AI13" s="158"/>
      <c r="AJ13" s="206"/>
      <c r="AK13" s="168">
        <v>3</v>
      </c>
      <c r="AL13" s="157" t="s">
        <v>323</v>
      </c>
      <c r="AM13" s="176"/>
      <c r="AN13" s="215"/>
      <c r="AO13" s="216"/>
      <c r="AP13" s="216"/>
      <c r="AQ13" s="169"/>
      <c r="AR13" s="206">
        <f t="shared" si="10"/>
        <v>0</v>
      </c>
      <c r="AS13" s="169"/>
      <c r="AT13" s="216"/>
      <c r="AU13" s="159">
        <f t="shared" si="11"/>
        <v>0</v>
      </c>
      <c r="AV13" s="159">
        <f t="shared" si="12"/>
        <v>5188.7999999999993</v>
      </c>
      <c r="AW13" s="159"/>
      <c r="AX13" s="159">
        <f t="shared" si="13"/>
        <v>0</v>
      </c>
      <c r="AY13" s="168">
        <v>3</v>
      </c>
      <c r="AZ13" s="157" t="s">
        <v>323</v>
      </c>
      <c r="BA13" s="281">
        <v>0.03</v>
      </c>
      <c r="BB13" s="171">
        <f t="shared" ref="BB13:BB20" si="22">M13*BA13/18*BH13</f>
        <v>155.66399999999999</v>
      </c>
      <c r="BC13" s="160"/>
      <c r="BD13" s="159">
        <f t="shared" si="14"/>
        <v>155.66399999999999</v>
      </c>
      <c r="BE13" s="159">
        <f t="shared" si="15"/>
        <v>5344.463999999999</v>
      </c>
      <c r="BF13" s="159">
        <f t="shared" si="16"/>
        <v>801.66959999999983</v>
      </c>
      <c r="BG13" s="161">
        <f t="shared" si="17"/>
        <v>6146.1335999999992</v>
      </c>
      <c r="BH13" s="172">
        <f t="shared" si="20"/>
        <v>6</v>
      </c>
      <c r="BI13" s="173">
        <f t="shared" si="18"/>
        <v>0.33333333333333331</v>
      </c>
      <c r="BJ13" s="278">
        <f t="shared" ref="BJ13:BJ20" si="23">BI13</f>
        <v>0.33333333333333331</v>
      </c>
      <c r="BK13" s="245"/>
      <c r="BL13" s="245"/>
    </row>
    <row r="14" spans="1:64" s="166" customFormat="1" ht="15.75">
      <c r="A14" s="168">
        <v>4</v>
      </c>
      <c r="B14" s="157" t="s">
        <v>330</v>
      </c>
      <c r="C14" s="157" t="s">
        <v>415</v>
      </c>
      <c r="D14" s="239">
        <v>22</v>
      </c>
      <c r="E14" s="239"/>
      <c r="F14" s="239" t="s">
        <v>372</v>
      </c>
      <c r="G14" s="239">
        <v>11280</v>
      </c>
      <c r="H14" s="168">
        <v>4</v>
      </c>
      <c r="I14" s="157" t="s">
        <v>330</v>
      </c>
      <c r="J14" s="158"/>
      <c r="K14" s="158">
        <v>0.25</v>
      </c>
      <c r="L14" s="158">
        <v>0.13</v>
      </c>
      <c r="M14" s="159">
        <f t="shared" si="0"/>
        <v>15566.4</v>
      </c>
      <c r="N14" s="158"/>
      <c r="O14" s="158">
        <v>2</v>
      </c>
      <c r="P14" s="158"/>
      <c r="Q14" s="158"/>
      <c r="R14" s="158"/>
      <c r="S14" s="159">
        <f t="shared" si="1"/>
        <v>0</v>
      </c>
      <c r="T14" s="159">
        <f t="shared" si="2"/>
        <v>1729.6</v>
      </c>
      <c r="U14" s="159">
        <f t="shared" si="3"/>
        <v>0</v>
      </c>
      <c r="V14" s="168">
        <v>4</v>
      </c>
      <c r="W14" s="157" t="s">
        <v>330</v>
      </c>
      <c r="X14" s="160">
        <f t="shared" si="4"/>
        <v>1729.6</v>
      </c>
      <c r="Y14" s="159">
        <f t="shared" si="5"/>
        <v>0</v>
      </c>
      <c r="Z14" s="159">
        <f t="shared" si="6"/>
        <v>0</v>
      </c>
      <c r="AA14" s="159">
        <f t="shared" si="7"/>
        <v>1729.6</v>
      </c>
      <c r="AB14" s="169"/>
      <c r="AC14" s="206"/>
      <c r="AD14" s="159">
        <v>2</v>
      </c>
      <c r="AE14" s="169">
        <v>1.5</v>
      </c>
      <c r="AF14" s="206">
        <f t="shared" si="9"/>
        <v>25.943999999999996</v>
      </c>
      <c r="AG14" s="206"/>
      <c r="AH14" s="159"/>
      <c r="AI14" s="158"/>
      <c r="AJ14" s="206">
        <f t="shared" ref="AJ14" si="24">M14*AI14/100</f>
        <v>0</v>
      </c>
      <c r="AK14" s="168">
        <v>4</v>
      </c>
      <c r="AL14" s="157" t="s">
        <v>330</v>
      </c>
      <c r="AM14" s="176"/>
      <c r="AN14" s="215"/>
      <c r="AO14" s="216"/>
      <c r="AP14" s="216"/>
      <c r="AQ14" s="169"/>
      <c r="AR14" s="206">
        <f t="shared" si="10"/>
        <v>0</v>
      </c>
      <c r="AS14" s="169"/>
      <c r="AT14" s="216"/>
      <c r="AU14" s="159">
        <f t="shared" si="11"/>
        <v>25.943999999999996</v>
      </c>
      <c r="AV14" s="159">
        <f t="shared" si="12"/>
        <v>1755.5439999999999</v>
      </c>
      <c r="AW14" s="159"/>
      <c r="AX14" s="159">
        <f t="shared" si="13"/>
        <v>0</v>
      </c>
      <c r="AY14" s="168">
        <v>4</v>
      </c>
      <c r="AZ14" s="157" t="s">
        <v>330</v>
      </c>
      <c r="BA14" s="281">
        <v>0.05</v>
      </c>
      <c r="BB14" s="171">
        <f t="shared" si="22"/>
        <v>86.48</v>
      </c>
      <c r="BC14" s="160"/>
      <c r="BD14" s="159">
        <f t="shared" si="14"/>
        <v>86.48</v>
      </c>
      <c r="BE14" s="159">
        <f t="shared" si="15"/>
        <v>1842.0239999999999</v>
      </c>
      <c r="BF14" s="159">
        <f t="shared" si="16"/>
        <v>276.30359999999996</v>
      </c>
      <c r="BG14" s="161">
        <f t="shared" si="17"/>
        <v>2118.3275999999996</v>
      </c>
      <c r="BH14" s="172">
        <f t="shared" si="20"/>
        <v>2</v>
      </c>
      <c r="BI14" s="173">
        <f t="shared" si="18"/>
        <v>0.1111111111111111</v>
      </c>
      <c r="BJ14" s="278">
        <f t="shared" si="23"/>
        <v>0.1111111111111111</v>
      </c>
      <c r="BK14" s="245"/>
      <c r="BL14" s="245"/>
    </row>
    <row r="15" spans="1:64" s="162" customFormat="1" ht="15.75">
      <c r="A15" s="168">
        <v>5</v>
      </c>
      <c r="B15" s="157" t="s">
        <v>318</v>
      </c>
      <c r="C15" s="157" t="s">
        <v>319</v>
      </c>
      <c r="D15" s="282">
        <v>58</v>
      </c>
      <c r="E15" s="282" t="s">
        <v>335</v>
      </c>
      <c r="F15" s="239" t="s">
        <v>372</v>
      </c>
      <c r="G15" s="239">
        <v>11280</v>
      </c>
      <c r="H15" s="168">
        <v>5</v>
      </c>
      <c r="I15" s="157" t="s">
        <v>318</v>
      </c>
      <c r="J15" s="158">
        <v>0.08</v>
      </c>
      <c r="K15" s="158">
        <v>0.25</v>
      </c>
      <c r="L15" s="158">
        <v>0.13</v>
      </c>
      <c r="M15" s="159">
        <f t="shared" si="0"/>
        <v>16811.712</v>
      </c>
      <c r="N15" s="158">
        <v>15</v>
      </c>
      <c r="O15" s="158"/>
      <c r="P15" s="158"/>
      <c r="Q15" s="158"/>
      <c r="R15" s="158"/>
      <c r="S15" s="159">
        <f>M15*N15/18</f>
        <v>14009.76</v>
      </c>
      <c r="T15" s="159">
        <f>M15*O15/18</f>
        <v>0</v>
      </c>
      <c r="U15" s="159">
        <f>M15*P15/18</f>
        <v>0</v>
      </c>
      <c r="V15" s="168">
        <v>5</v>
      </c>
      <c r="W15" s="157" t="s">
        <v>318</v>
      </c>
      <c r="X15" s="160">
        <f>S15+T15+U15</f>
        <v>14009.76</v>
      </c>
      <c r="Y15" s="159">
        <f>M15*Q15/18</f>
        <v>0</v>
      </c>
      <c r="Z15" s="159">
        <f>G15*(1+J15)*(1+K15+0.2)*R15/18</f>
        <v>0</v>
      </c>
      <c r="AA15" s="159">
        <f>X15+Y15+Z15</f>
        <v>14009.76</v>
      </c>
      <c r="AB15" s="169"/>
      <c r="AC15" s="206">
        <f>M15*AB15/100</f>
        <v>0</v>
      </c>
      <c r="AD15" s="159">
        <v>15</v>
      </c>
      <c r="AE15" s="169">
        <v>5</v>
      </c>
      <c r="AF15" s="206">
        <f t="shared" si="9"/>
        <v>700.48800000000006</v>
      </c>
      <c r="AG15" s="206"/>
      <c r="AH15" s="159"/>
      <c r="AI15" s="158"/>
      <c r="AJ15" s="206">
        <f>M15*AI15/100</f>
        <v>0</v>
      </c>
      <c r="AK15" s="168">
        <v>5</v>
      </c>
      <c r="AL15" s="157" t="s">
        <v>318</v>
      </c>
      <c r="AM15" s="176"/>
      <c r="AN15" s="215"/>
      <c r="AO15" s="216"/>
      <c r="AP15" s="216"/>
      <c r="AQ15" s="169"/>
      <c r="AR15" s="206">
        <f>M15*AQ15/100</f>
        <v>0</v>
      </c>
      <c r="AS15" s="169"/>
      <c r="AT15" s="216"/>
      <c r="AU15" s="159">
        <f>AC15+AF15+AG15+AH15+AJ15+AN15+AO15+AP15+AR15+AT15</f>
        <v>700.48800000000006</v>
      </c>
      <c r="AV15" s="159">
        <f>AA15+AU15</f>
        <v>14710.248</v>
      </c>
      <c r="AW15" s="159"/>
      <c r="AX15" s="159">
        <f>AV15*AW15/100</f>
        <v>0</v>
      </c>
      <c r="AY15" s="168">
        <v>5</v>
      </c>
      <c r="AZ15" s="157" t="s">
        <v>318</v>
      </c>
      <c r="BA15" s="281">
        <v>0.05</v>
      </c>
      <c r="BB15" s="171">
        <f t="shared" si="22"/>
        <v>700.48799999999994</v>
      </c>
      <c r="BC15" s="160"/>
      <c r="BD15" s="159">
        <f>AX15+BB15+BC15</f>
        <v>700.48799999999994</v>
      </c>
      <c r="BE15" s="159">
        <f>AV15+BD15</f>
        <v>15410.735999999999</v>
      </c>
      <c r="BF15" s="159">
        <f>BE15*0.15</f>
        <v>2311.6103999999996</v>
      </c>
      <c r="BG15" s="161">
        <f>BE15+BF15</f>
        <v>17722.346399999999</v>
      </c>
      <c r="BH15" s="172">
        <f t="shared" si="20"/>
        <v>15</v>
      </c>
      <c r="BI15" s="173">
        <f t="shared" si="18"/>
        <v>0.83333333333333337</v>
      </c>
      <c r="BJ15" s="278">
        <f>BI15</f>
        <v>0.83333333333333337</v>
      </c>
      <c r="BK15" s="174"/>
      <c r="BL15" s="174"/>
    </row>
    <row r="16" spans="1:64" s="166" customFormat="1" ht="15.75">
      <c r="A16" s="168">
        <v>6</v>
      </c>
      <c r="B16" s="157" t="s">
        <v>447</v>
      </c>
      <c r="C16" s="157" t="s">
        <v>319</v>
      </c>
      <c r="D16" s="239">
        <v>3</v>
      </c>
      <c r="E16" s="239"/>
      <c r="F16" s="239" t="s">
        <v>372</v>
      </c>
      <c r="G16" s="239">
        <v>11280</v>
      </c>
      <c r="H16" s="168">
        <v>6</v>
      </c>
      <c r="I16" s="157" t="s">
        <v>447</v>
      </c>
      <c r="J16" s="158"/>
      <c r="K16" s="158">
        <v>0.25</v>
      </c>
      <c r="L16" s="158">
        <v>0.13</v>
      </c>
      <c r="M16" s="159">
        <f t="shared" si="0"/>
        <v>15566.4</v>
      </c>
      <c r="N16" s="158">
        <v>15</v>
      </c>
      <c r="O16" s="158"/>
      <c r="P16" s="158"/>
      <c r="Q16" s="158"/>
      <c r="R16" s="158"/>
      <c r="S16" s="159">
        <f>M16*N16/18</f>
        <v>12972</v>
      </c>
      <c r="T16" s="159">
        <f>M16*O16/18</f>
        <v>0</v>
      </c>
      <c r="U16" s="159">
        <f>M16*P16/18</f>
        <v>0</v>
      </c>
      <c r="V16" s="168">
        <v>6</v>
      </c>
      <c r="W16" s="157" t="s">
        <v>447</v>
      </c>
      <c r="X16" s="160">
        <f>S16+T16+U16</f>
        <v>12972</v>
      </c>
      <c r="Y16" s="159">
        <f>M16*Q16/18</f>
        <v>0</v>
      </c>
      <c r="Z16" s="159">
        <f>G16*(1+J16)*(1+K16+0.2)*R16/18</f>
        <v>0</v>
      </c>
      <c r="AA16" s="159">
        <f>X16+Y16+Z16</f>
        <v>12972</v>
      </c>
      <c r="AB16" s="169"/>
      <c r="AC16" s="206">
        <f>M16*AB16/100</f>
        <v>0</v>
      </c>
      <c r="AD16" s="159">
        <v>15</v>
      </c>
      <c r="AE16" s="169">
        <v>5</v>
      </c>
      <c r="AF16" s="206">
        <f t="shared" si="9"/>
        <v>648.6</v>
      </c>
      <c r="AG16" s="206"/>
      <c r="AH16" s="159"/>
      <c r="AI16" s="158"/>
      <c r="AJ16" s="206">
        <f>M16*AI16/100</f>
        <v>0</v>
      </c>
      <c r="AK16" s="168">
        <v>6</v>
      </c>
      <c r="AL16" s="157" t="s">
        <v>447</v>
      </c>
      <c r="AM16" s="176"/>
      <c r="AN16" s="216"/>
      <c r="AO16" s="216"/>
      <c r="AP16" s="216"/>
      <c r="AQ16" s="169"/>
      <c r="AR16" s="206">
        <f>M16*AQ16/100</f>
        <v>0</v>
      </c>
      <c r="AS16" s="169"/>
      <c r="AT16" s="206"/>
      <c r="AU16" s="159">
        <f>AC16+AF16+AG16+AH16+AJ16+AN16+AO16+AP16+AR16+AT16</f>
        <v>648.6</v>
      </c>
      <c r="AV16" s="159">
        <f>AA16+AU16</f>
        <v>13620.6</v>
      </c>
      <c r="AW16" s="159"/>
      <c r="AX16" s="159">
        <f>AV16*AW16/100</f>
        <v>0</v>
      </c>
      <c r="AY16" s="168">
        <v>6</v>
      </c>
      <c r="AZ16" s="157" t="s">
        <v>447</v>
      </c>
      <c r="BA16" s="157">
        <v>0.02</v>
      </c>
      <c r="BB16" s="171">
        <f t="shared" si="22"/>
        <v>259.44</v>
      </c>
      <c r="BC16" s="159"/>
      <c r="BD16" s="159">
        <f>AX16+BB16+BC16</f>
        <v>259.44</v>
      </c>
      <c r="BE16" s="159">
        <f>AV16+BD16</f>
        <v>13880.04</v>
      </c>
      <c r="BF16" s="159">
        <f>BE16*0.15</f>
        <v>2082.0059999999999</v>
      </c>
      <c r="BG16" s="161">
        <f>BE16+BF16</f>
        <v>15962.046</v>
      </c>
      <c r="BH16" s="172">
        <f t="shared" si="20"/>
        <v>15</v>
      </c>
      <c r="BI16" s="173">
        <f t="shared" si="18"/>
        <v>0.83333333333333337</v>
      </c>
      <c r="BJ16" s="278">
        <f>BI16</f>
        <v>0.83333333333333337</v>
      </c>
      <c r="BK16" s="245"/>
      <c r="BL16" s="245"/>
    </row>
    <row r="17" spans="1:64" s="166" customFormat="1" ht="15.75">
      <c r="A17" s="168">
        <v>7</v>
      </c>
      <c r="B17" s="398" t="s">
        <v>324</v>
      </c>
      <c r="C17" s="398" t="s">
        <v>325</v>
      </c>
      <c r="D17" s="399">
        <v>34</v>
      </c>
      <c r="E17" s="399" t="s">
        <v>341</v>
      </c>
      <c r="F17" s="400" t="s">
        <v>436</v>
      </c>
      <c r="G17" s="399">
        <v>13094</v>
      </c>
      <c r="H17" s="168">
        <v>7</v>
      </c>
      <c r="I17" s="398" t="s">
        <v>324</v>
      </c>
      <c r="J17" s="279"/>
      <c r="K17" s="279">
        <v>0.25</v>
      </c>
      <c r="L17" s="158">
        <v>0.13</v>
      </c>
      <c r="M17" s="159">
        <f t="shared" si="0"/>
        <v>18069.719999999998</v>
      </c>
      <c r="N17" s="279"/>
      <c r="O17" s="279">
        <v>18</v>
      </c>
      <c r="P17" s="279"/>
      <c r="Q17" s="279"/>
      <c r="R17" s="279"/>
      <c r="S17" s="401">
        <f>M17*N17/18</f>
        <v>0</v>
      </c>
      <c r="T17" s="401">
        <f>M17*O17/18</f>
        <v>18069.719999999998</v>
      </c>
      <c r="U17" s="401">
        <f>M17*P17/18</f>
        <v>0</v>
      </c>
      <c r="V17" s="168">
        <v>7</v>
      </c>
      <c r="W17" s="398" t="s">
        <v>324</v>
      </c>
      <c r="X17" s="402">
        <f>S17+T17+U17</f>
        <v>18069.719999999998</v>
      </c>
      <c r="Y17" s="401">
        <f>M17*Q17/18</f>
        <v>0</v>
      </c>
      <c r="Z17" s="401">
        <f>G17*(1+J17)*(1+K17+0.2)*R17/18</f>
        <v>0</v>
      </c>
      <c r="AA17" s="159">
        <f>X17+Y17+Z17</f>
        <v>18069.719999999998</v>
      </c>
      <c r="AB17" s="403"/>
      <c r="AC17" s="404">
        <f>M17*AB17/100</f>
        <v>0</v>
      </c>
      <c r="AD17" s="401"/>
      <c r="AE17" s="403"/>
      <c r="AF17" s="206">
        <f t="shared" si="9"/>
        <v>0</v>
      </c>
      <c r="AG17" s="404"/>
      <c r="AH17" s="401"/>
      <c r="AI17" s="279"/>
      <c r="AJ17" s="404"/>
      <c r="AK17" s="168">
        <v>7</v>
      </c>
      <c r="AL17" s="398" t="s">
        <v>324</v>
      </c>
      <c r="AM17" s="405"/>
      <c r="AN17" s="406"/>
      <c r="AO17" s="406"/>
      <c r="AP17" s="406"/>
      <c r="AQ17" s="403"/>
      <c r="AR17" s="404">
        <f>M17*AQ17/100</f>
        <v>0</v>
      </c>
      <c r="AS17" s="403"/>
      <c r="AT17" s="404">
        <f>(M17*AD17/18)*AS17/100</f>
        <v>0</v>
      </c>
      <c r="AU17" s="401">
        <f>AC17+AF17+AG17+AH17+AJ17+AN17+AO17+AP17+AR17+AT17</f>
        <v>0</v>
      </c>
      <c r="AV17" s="401">
        <f>AA17+AU17</f>
        <v>18069.719999999998</v>
      </c>
      <c r="AW17" s="401">
        <v>10</v>
      </c>
      <c r="AX17" s="159">
        <f>AV17*AW17/100</f>
        <v>1806.9719999999998</v>
      </c>
      <c r="AY17" s="168">
        <v>7</v>
      </c>
      <c r="AZ17" s="398" t="s">
        <v>324</v>
      </c>
      <c r="BA17" s="398">
        <v>0.05</v>
      </c>
      <c r="BB17" s="171">
        <f t="shared" si="22"/>
        <v>903.48599999999988</v>
      </c>
      <c r="BC17" s="402"/>
      <c r="BD17" s="401">
        <f>AX17+BB17+BC17</f>
        <v>2710.4579999999996</v>
      </c>
      <c r="BE17" s="401">
        <f>AV17+BD17</f>
        <v>20780.177999999996</v>
      </c>
      <c r="BF17" s="401">
        <f>BE17*0.15</f>
        <v>3117.0266999999994</v>
      </c>
      <c r="BG17" s="407">
        <f>BE17+BF17</f>
        <v>23897.204699999995</v>
      </c>
      <c r="BH17" s="172">
        <f t="shared" si="20"/>
        <v>18</v>
      </c>
      <c r="BI17" s="173">
        <f t="shared" si="18"/>
        <v>1</v>
      </c>
      <c r="BJ17" s="278">
        <f>BI17</f>
        <v>1</v>
      </c>
      <c r="BK17" s="245"/>
      <c r="BL17" s="245"/>
    </row>
    <row r="18" spans="1:64" s="162" customFormat="1" ht="15.75">
      <c r="A18" s="168">
        <v>8</v>
      </c>
      <c r="B18" s="165" t="s">
        <v>281</v>
      </c>
      <c r="C18" s="157" t="s">
        <v>329</v>
      </c>
      <c r="D18" s="238">
        <v>29</v>
      </c>
      <c r="E18" s="238"/>
      <c r="F18" s="239" t="s">
        <v>437</v>
      </c>
      <c r="G18" s="239">
        <v>12182</v>
      </c>
      <c r="H18" s="168">
        <v>8</v>
      </c>
      <c r="I18" s="165" t="s">
        <v>281</v>
      </c>
      <c r="J18" s="158"/>
      <c r="K18" s="158">
        <v>0.25</v>
      </c>
      <c r="L18" s="158">
        <v>0.13</v>
      </c>
      <c r="M18" s="159">
        <f t="shared" si="0"/>
        <v>16811.16</v>
      </c>
      <c r="N18" s="158"/>
      <c r="O18" s="158">
        <v>17</v>
      </c>
      <c r="P18" s="158"/>
      <c r="Q18" s="158"/>
      <c r="R18" s="158"/>
      <c r="S18" s="159">
        <f>M18*N18/18</f>
        <v>0</v>
      </c>
      <c r="T18" s="159">
        <f>M18*O18/18</f>
        <v>15877.206666666665</v>
      </c>
      <c r="U18" s="159">
        <f>M18*P18/18</f>
        <v>0</v>
      </c>
      <c r="V18" s="168">
        <v>8</v>
      </c>
      <c r="W18" s="165" t="s">
        <v>281</v>
      </c>
      <c r="X18" s="160">
        <f>S18+T18+U18</f>
        <v>15877.206666666665</v>
      </c>
      <c r="Y18" s="159">
        <f>M18*Q18/18</f>
        <v>0</v>
      </c>
      <c r="Z18" s="159">
        <f>G18*(1+J18)*(1+K18+0.2)*R18/18</f>
        <v>0</v>
      </c>
      <c r="AA18" s="159">
        <f>X18+Y18+Z18</f>
        <v>15877.206666666665</v>
      </c>
      <c r="AB18" s="169"/>
      <c r="AC18" s="206">
        <f>M18*AB18/100</f>
        <v>0</v>
      </c>
      <c r="AD18" s="159">
        <v>17</v>
      </c>
      <c r="AE18" s="170">
        <v>5</v>
      </c>
      <c r="AF18" s="206">
        <f t="shared" si="9"/>
        <v>793.8603333333333</v>
      </c>
      <c r="AG18" s="206"/>
      <c r="AH18" s="159"/>
      <c r="AI18" s="159"/>
      <c r="AJ18" s="206"/>
      <c r="AK18" s="168">
        <v>8</v>
      </c>
      <c r="AL18" s="165" t="s">
        <v>281</v>
      </c>
      <c r="AM18" s="175"/>
      <c r="AN18" s="215"/>
      <c r="AO18" s="219"/>
      <c r="AP18" s="216"/>
      <c r="AQ18" s="169"/>
      <c r="AR18" s="206">
        <f>M18*AQ18/100</f>
        <v>0</v>
      </c>
      <c r="AS18" s="169"/>
      <c r="AT18" s="216"/>
      <c r="AU18" s="159">
        <f>AC18+AF18+AG18+AH18+AJ18+AN18+AO18+AP18+AR18+AT18</f>
        <v>793.8603333333333</v>
      </c>
      <c r="AV18" s="159">
        <f>AA18+AU18</f>
        <v>16671.066999999999</v>
      </c>
      <c r="AW18" s="159"/>
      <c r="AX18" s="159">
        <f>AV18*AW18/100</f>
        <v>0</v>
      </c>
      <c r="AY18" s="168">
        <v>8</v>
      </c>
      <c r="AZ18" s="165" t="s">
        <v>281</v>
      </c>
      <c r="BA18" s="165">
        <v>0.05</v>
      </c>
      <c r="BB18" s="171">
        <f t="shared" si="22"/>
        <v>793.8603333333333</v>
      </c>
      <c r="BC18" s="160"/>
      <c r="BD18" s="159">
        <f>AX18+BB18+BC18</f>
        <v>793.8603333333333</v>
      </c>
      <c r="BE18" s="159">
        <f>AV18+BD18</f>
        <v>17464.927333333333</v>
      </c>
      <c r="BF18" s="159">
        <f>BE18*0.15</f>
        <v>2619.7390999999998</v>
      </c>
      <c r="BG18" s="161">
        <f>BE18+BF18</f>
        <v>20084.666433333332</v>
      </c>
      <c r="BH18" s="172">
        <f t="shared" si="20"/>
        <v>17</v>
      </c>
      <c r="BI18" s="173">
        <f t="shared" si="18"/>
        <v>0.94444444444444442</v>
      </c>
      <c r="BJ18" s="278">
        <f>BI18</f>
        <v>0.94444444444444442</v>
      </c>
      <c r="BK18" s="174"/>
      <c r="BL18" s="174"/>
    </row>
    <row r="19" spans="1:64" s="166" customFormat="1" ht="15.75">
      <c r="A19" s="168">
        <v>9</v>
      </c>
      <c r="B19" s="165" t="s">
        <v>309</v>
      </c>
      <c r="C19" s="157" t="s">
        <v>320</v>
      </c>
      <c r="D19" s="238">
        <v>9</v>
      </c>
      <c r="E19" s="238"/>
      <c r="F19" s="239" t="s">
        <v>372</v>
      </c>
      <c r="G19" s="239">
        <v>11280</v>
      </c>
      <c r="H19" s="168">
        <v>9</v>
      </c>
      <c r="I19" s="165" t="s">
        <v>309</v>
      </c>
      <c r="J19" s="158"/>
      <c r="K19" s="158">
        <v>0.25</v>
      </c>
      <c r="L19" s="158">
        <v>0.13</v>
      </c>
      <c r="M19" s="159">
        <f t="shared" si="0"/>
        <v>15566.4</v>
      </c>
      <c r="N19" s="158"/>
      <c r="O19" s="158">
        <v>5</v>
      </c>
      <c r="P19" s="158"/>
      <c r="Q19" s="158"/>
      <c r="R19" s="158"/>
      <c r="S19" s="159">
        <f>M19*N19/18</f>
        <v>0</v>
      </c>
      <c r="T19" s="159">
        <f>M19*O19/18</f>
        <v>4324</v>
      </c>
      <c r="U19" s="159">
        <f>M19*P19/18</f>
        <v>0</v>
      </c>
      <c r="V19" s="168">
        <v>9</v>
      </c>
      <c r="W19" s="165" t="s">
        <v>309</v>
      </c>
      <c r="X19" s="160">
        <f>S19+T19+U19</f>
        <v>4324</v>
      </c>
      <c r="Y19" s="159">
        <f>M19*Q19/18</f>
        <v>0</v>
      </c>
      <c r="Z19" s="159">
        <f>G19*(1+J19)*(1+K19+0.2)*R19/18</f>
        <v>0</v>
      </c>
      <c r="AA19" s="159">
        <f>X19+Y19+Z19</f>
        <v>4324</v>
      </c>
      <c r="AB19" s="169"/>
      <c r="AC19" s="206">
        <f>M19*AB19/100</f>
        <v>0</v>
      </c>
      <c r="AD19" s="159"/>
      <c r="AE19" s="169"/>
      <c r="AF19" s="206">
        <f t="shared" si="9"/>
        <v>0</v>
      </c>
      <c r="AG19" s="206"/>
      <c r="AH19" s="159"/>
      <c r="AI19" s="158"/>
      <c r="AJ19" s="206"/>
      <c r="AK19" s="168">
        <v>9</v>
      </c>
      <c r="AL19" s="165" t="s">
        <v>309</v>
      </c>
      <c r="AM19" s="408"/>
      <c r="AN19" s="215"/>
      <c r="AO19" s="216"/>
      <c r="AP19" s="216"/>
      <c r="AQ19" s="169"/>
      <c r="AR19" s="206">
        <f>M19*AQ19/100</f>
        <v>0</v>
      </c>
      <c r="AS19" s="169"/>
      <c r="AT19" s="206">
        <f>(M19*AD19/18)*AS19/100</f>
        <v>0</v>
      </c>
      <c r="AU19" s="159">
        <f>AC19+AF19+AG19+AH19+AJ19+AN19+AO19+AP19+AR19+AT19</f>
        <v>0</v>
      </c>
      <c r="AV19" s="159">
        <f>AA19+AU19</f>
        <v>4324</v>
      </c>
      <c r="AW19" s="159"/>
      <c r="AX19" s="159">
        <f>AV19*AW19/100</f>
        <v>0</v>
      </c>
      <c r="AY19" s="168">
        <v>9</v>
      </c>
      <c r="AZ19" s="165" t="s">
        <v>309</v>
      </c>
      <c r="BA19" s="165">
        <v>0.03</v>
      </c>
      <c r="BB19" s="171">
        <f t="shared" si="22"/>
        <v>129.72</v>
      </c>
      <c r="BC19" s="160"/>
      <c r="BD19" s="159">
        <f>AX19+BB19+BC19</f>
        <v>129.72</v>
      </c>
      <c r="BE19" s="159">
        <f>AV19+BD19</f>
        <v>4453.72</v>
      </c>
      <c r="BF19" s="159">
        <f>BE19*0.15</f>
        <v>668.05799999999999</v>
      </c>
      <c r="BG19" s="161">
        <f>BE19+BF19</f>
        <v>5121.7780000000002</v>
      </c>
      <c r="BH19" s="172">
        <f t="shared" si="20"/>
        <v>5</v>
      </c>
      <c r="BI19" s="173">
        <f t="shared" si="18"/>
        <v>0.27777777777777779</v>
      </c>
      <c r="BJ19" s="278">
        <f t="shared" si="23"/>
        <v>0.27777777777777779</v>
      </c>
      <c r="BK19" s="245"/>
      <c r="BL19" s="245"/>
    </row>
    <row r="20" spans="1:64" s="166" customFormat="1" ht="15.75">
      <c r="A20" s="168">
        <v>10</v>
      </c>
      <c r="B20" s="165" t="s">
        <v>446</v>
      </c>
      <c r="C20" s="157" t="s">
        <v>361</v>
      </c>
      <c r="D20" s="238">
        <v>9</v>
      </c>
      <c r="E20" s="238"/>
      <c r="F20" s="239" t="s">
        <v>372</v>
      </c>
      <c r="G20" s="239">
        <v>11280</v>
      </c>
      <c r="H20" s="168">
        <v>10</v>
      </c>
      <c r="I20" s="165" t="s">
        <v>446</v>
      </c>
      <c r="J20" s="158"/>
      <c r="K20" s="158">
        <v>0.25</v>
      </c>
      <c r="L20" s="158">
        <v>0.13</v>
      </c>
      <c r="M20" s="159">
        <f t="shared" si="0"/>
        <v>15566.4</v>
      </c>
      <c r="N20" s="158"/>
      <c r="O20" s="158">
        <v>7</v>
      </c>
      <c r="P20" s="158"/>
      <c r="Q20" s="158"/>
      <c r="R20" s="158"/>
      <c r="S20" s="159">
        <f t="shared" ref="S20" si="25">M20*N20/18</f>
        <v>0</v>
      </c>
      <c r="T20" s="159">
        <f t="shared" ref="T20" si="26">M20*O20/18</f>
        <v>6053.6</v>
      </c>
      <c r="U20" s="159">
        <f t="shared" ref="U20" si="27">M20*P20/18</f>
        <v>0</v>
      </c>
      <c r="V20" s="168">
        <v>10</v>
      </c>
      <c r="W20" s="165" t="s">
        <v>446</v>
      </c>
      <c r="X20" s="160">
        <f t="shared" ref="X20" si="28">S20+T20+U20</f>
        <v>6053.6</v>
      </c>
      <c r="Y20" s="159">
        <f t="shared" ref="Y20" si="29">M20*Q20/18</f>
        <v>0</v>
      </c>
      <c r="Z20" s="159">
        <f t="shared" ref="Z20" si="30">G20*(1+J20)*(1+K20+0.2)*R20/18</f>
        <v>0</v>
      </c>
      <c r="AA20" s="159">
        <f t="shared" ref="AA20" si="31">X20+Y20+Z20</f>
        <v>6053.6</v>
      </c>
      <c r="AB20" s="169"/>
      <c r="AC20" s="206">
        <f t="shared" ref="AC20" si="32">M20*AB20/100</f>
        <v>0</v>
      </c>
      <c r="AD20" s="159">
        <v>7</v>
      </c>
      <c r="AE20" s="169">
        <v>3</v>
      </c>
      <c r="AF20" s="206">
        <f t="shared" ref="AF20" si="33">(M20*AD20/18)*AE20/100</f>
        <v>181.60800000000003</v>
      </c>
      <c r="AG20" s="206"/>
      <c r="AH20" s="159"/>
      <c r="AI20" s="158"/>
      <c r="AJ20" s="206"/>
      <c r="AK20" s="168">
        <v>10</v>
      </c>
      <c r="AL20" s="165" t="s">
        <v>446</v>
      </c>
      <c r="AM20" s="176"/>
      <c r="AN20" s="215"/>
      <c r="AO20" s="216"/>
      <c r="AP20" s="216"/>
      <c r="AQ20" s="169"/>
      <c r="AR20" s="206">
        <f t="shared" ref="AR20" si="34">M20*AQ20/100</f>
        <v>0</v>
      </c>
      <c r="AS20" s="159"/>
      <c r="AT20" s="206">
        <f t="shared" ref="AT20" si="35">(M20*AD20/18)*AS20/100</f>
        <v>0</v>
      </c>
      <c r="AU20" s="159">
        <f t="shared" ref="AU20" si="36">AC20+AF20+AG20+AH20+AJ20+AN20+AO20+AP20+AR20+AT20</f>
        <v>181.60800000000003</v>
      </c>
      <c r="AV20" s="159">
        <f t="shared" ref="AV20" si="37">AA20+AU20</f>
        <v>6235.2080000000005</v>
      </c>
      <c r="AW20" s="159"/>
      <c r="AX20" s="159">
        <f t="shared" ref="AX20" si="38">AV20*AW20/100</f>
        <v>0</v>
      </c>
      <c r="AY20" s="168">
        <v>10</v>
      </c>
      <c r="AZ20" s="165" t="s">
        <v>446</v>
      </c>
      <c r="BA20" s="165">
        <v>0.03</v>
      </c>
      <c r="BB20" s="171">
        <f t="shared" si="22"/>
        <v>181.608</v>
      </c>
      <c r="BC20" s="160"/>
      <c r="BD20" s="159">
        <f t="shared" ref="BD20" si="39">AX20+BB20+BC20</f>
        <v>181.608</v>
      </c>
      <c r="BE20" s="159">
        <f t="shared" ref="BE20" si="40">AV20+BD20</f>
        <v>6416.8160000000007</v>
      </c>
      <c r="BF20" s="159">
        <f t="shared" ref="BF20" si="41">BE20*0.15</f>
        <v>962.52240000000006</v>
      </c>
      <c r="BG20" s="161">
        <f t="shared" ref="BG20" si="42">BE20+BF20</f>
        <v>7379.3384000000005</v>
      </c>
      <c r="BH20" s="172">
        <f t="shared" si="20"/>
        <v>7</v>
      </c>
      <c r="BI20" s="173">
        <f t="shared" si="18"/>
        <v>0.3888888888888889</v>
      </c>
      <c r="BJ20" s="278">
        <f t="shared" si="23"/>
        <v>0.3888888888888889</v>
      </c>
      <c r="BK20" s="245"/>
      <c r="BL20" s="245"/>
    </row>
    <row r="21" spans="1:64" ht="21" customHeight="1">
      <c r="A21" s="222"/>
      <c r="B21" s="223" t="s">
        <v>33</v>
      </c>
      <c r="C21" s="223" t="s">
        <v>64</v>
      </c>
      <c r="D21" s="240" t="s">
        <v>64</v>
      </c>
      <c r="E21" s="240"/>
      <c r="F21" s="240" t="s">
        <v>64</v>
      </c>
      <c r="G21" s="240" t="s">
        <v>64</v>
      </c>
      <c r="H21" s="222"/>
      <c r="I21" s="223" t="s">
        <v>33</v>
      </c>
      <c r="J21" s="221" t="s">
        <v>64</v>
      </c>
      <c r="K21" s="221" t="s">
        <v>64</v>
      </c>
      <c r="L21" s="221" t="s">
        <v>64</v>
      </c>
      <c r="M21" s="220" t="s">
        <v>64</v>
      </c>
      <c r="N21" s="221">
        <f>SUM(N11:N20)</f>
        <v>30</v>
      </c>
      <c r="O21" s="221">
        <f>SUM(O11:O20)</f>
        <v>79</v>
      </c>
      <c r="P21" s="221">
        <f>SUM(P11:P20)</f>
        <v>0</v>
      </c>
      <c r="Q21" s="221">
        <f>SUM(Q11:Q20)</f>
        <v>0</v>
      </c>
      <c r="R21" s="221"/>
      <c r="S21" s="220">
        <f>SUM(S11:S20)</f>
        <v>26981.760000000002</v>
      </c>
      <c r="T21" s="220">
        <f>SUM(T11:T20)</f>
        <v>71998.126666666663</v>
      </c>
      <c r="U21" s="220">
        <f>SUM(U11:U19)</f>
        <v>0</v>
      </c>
      <c r="V21" s="222"/>
      <c r="W21" s="223" t="s">
        <v>33</v>
      </c>
      <c r="X21" s="285">
        <f>SUM(X11:X20)</f>
        <v>98979.886666666673</v>
      </c>
      <c r="Y21" s="220"/>
      <c r="Z21" s="220"/>
      <c r="AA21" s="285">
        <f>SUM(AA11:AA20)</f>
        <v>98979.886666666673</v>
      </c>
      <c r="AB21" s="220" t="s">
        <v>64</v>
      </c>
      <c r="AC21" s="220">
        <f>SUM(AC11:AC14)</f>
        <v>0</v>
      </c>
      <c r="AD21" s="220" t="s">
        <v>166</v>
      </c>
      <c r="AE21" s="220" t="s">
        <v>166</v>
      </c>
      <c r="AF21" s="285">
        <f>SUM(AF11:AF20)</f>
        <v>2895.324333333333</v>
      </c>
      <c r="AG21" s="285">
        <f>SUM(AG11:AG20)</f>
        <v>0</v>
      </c>
      <c r="AH21" s="227">
        <f>SUM(AH11:AH14)</f>
        <v>0</v>
      </c>
      <c r="AI21" s="221" t="s">
        <v>64</v>
      </c>
      <c r="AJ21" s="220">
        <f>SUM(AJ11:AJ14)</f>
        <v>0</v>
      </c>
      <c r="AK21" s="222"/>
      <c r="AL21" s="223" t="s">
        <v>33</v>
      </c>
      <c r="AM21" s="221"/>
      <c r="AN21" s="220">
        <f>SUM(AN11:AN14)</f>
        <v>0</v>
      </c>
      <c r="AO21" s="221">
        <f>SUM(AO11:AO14)</f>
        <v>0</v>
      </c>
      <c r="AP21" s="220">
        <f>SUM(AP11:AP14)</f>
        <v>0</v>
      </c>
      <c r="AQ21" s="221" t="s">
        <v>166</v>
      </c>
      <c r="AR21" s="220">
        <f>SUM(AR11:AR14)</f>
        <v>0</v>
      </c>
      <c r="AS21" s="220" t="s">
        <v>166</v>
      </c>
      <c r="AT21" s="220">
        <f>SUM(AT11:AT14)</f>
        <v>0</v>
      </c>
      <c r="AU21" s="220">
        <f>SUM(AU11:AU20)</f>
        <v>2895.324333333333</v>
      </c>
      <c r="AV21" s="220">
        <f>SUM(AV11:AV20)</f>
        <v>101875.211</v>
      </c>
      <c r="AW21" s="221" t="s">
        <v>166</v>
      </c>
      <c r="AX21" s="220">
        <f>SUM(AX11:AX20)</f>
        <v>2158.0807999999997</v>
      </c>
      <c r="AY21" s="222"/>
      <c r="AZ21" s="223" t="s">
        <v>33</v>
      </c>
      <c r="BA21" s="223" t="s">
        <v>64</v>
      </c>
      <c r="BB21" s="224">
        <f>SUM(BB11:BB14)</f>
        <v>1089.6479999999999</v>
      </c>
      <c r="BC21" s="220">
        <f>SUM(BC11:BC14)</f>
        <v>0</v>
      </c>
      <c r="BD21" s="225">
        <f>SUM(BD11:BD20)</f>
        <v>6216.3311333333331</v>
      </c>
      <c r="BE21" s="225">
        <f>SUM(BE11:BE20)</f>
        <v>108091.54213333335</v>
      </c>
      <c r="BF21" s="225">
        <f>SUM(BF11:BF20)</f>
        <v>16213.731319999997</v>
      </c>
      <c r="BG21" s="225">
        <f>SUM(BG11:BG20)</f>
        <v>124305.27345333333</v>
      </c>
      <c r="BH21" s="225">
        <f t="shared" ref="BH21:BJ21" si="43">SUM(BH11:BH20)</f>
        <v>109</v>
      </c>
      <c r="BI21" s="226">
        <f t="shared" si="43"/>
        <v>6.0555555555555562</v>
      </c>
      <c r="BJ21" s="226">
        <f t="shared" si="43"/>
        <v>5.9444444444444455</v>
      </c>
      <c r="BK21" s="174"/>
      <c r="BL21" s="174"/>
    </row>
    <row r="22" spans="1:64" ht="21" customHeight="1">
      <c r="A22" s="332"/>
      <c r="B22" s="333"/>
      <c r="C22" s="333"/>
      <c r="D22" s="334"/>
      <c r="E22" s="334"/>
      <c r="F22" s="334"/>
      <c r="G22" s="334"/>
      <c r="H22" s="332"/>
      <c r="I22" s="333"/>
      <c r="J22" s="335"/>
      <c r="K22" s="335"/>
      <c r="L22" s="335"/>
      <c r="M22" s="336"/>
      <c r="N22" s="335"/>
      <c r="O22" s="335"/>
      <c r="P22" s="335"/>
      <c r="Q22" s="335"/>
      <c r="R22" s="335"/>
      <c r="S22" s="336"/>
      <c r="T22" s="336"/>
      <c r="U22" s="336"/>
      <c r="V22" s="332"/>
      <c r="W22" s="333"/>
      <c r="X22" s="337"/>
      <c r="Y22" s="336"/>
      <c r="Z22" s="336"/>
      <c r="AA22" s="337"/>
      <c r="AB22" s="336"/>
      <c r="AC22" s="336"/>
      <c r="AD22" s="336"/>
      <c r="AE22" s="336"/>
      <c r="AF22" s="337"/>
      <c r="AG22" s="337"/>
      <c r="AH22" s="338"/>
      <c r="AI22" s="335"/>
      <c r="AJ22" s="336"/>
      <c r="AK22" s="332"/>
      <c r="AL22" s="333"/>
      <c r="AM22" s="335"/>
      <c r="AN22" s="336"/>
      <c r="AO22" s="335"/>
      <c r="AP22" s="336"/>
      <c r="AQ22" s="335"/>
      <c r="AR22" s="336"/>
      <c r="AS22" s="336"/>
      <c r="AT22" s="336"/>
      <c r="AU22" s="336"/>
      <c r="AV22" s="336"/>
      <c r="AW22" s="335"/>
      <c r="AX22" s="336"/>
      <c r="AY22" s="332"/>
      <c r="AZ22" s="333"/>
      <c r="BA22" s="333"/>
      <c r="BB22" s="339"/>
      <c r="BC22" s="336"/>
      <c r="BD22" s="340"/>
      <c r="BE22" s="340"/>
      <c r="BF22" s="340"/>
      <c r="BG22" s="340"/>
      <c r="BH22" s="340"/>
      <c r="BI22" s="341"/>
      <c r="BJ22" s="341"/>
      <c r="BK22" s="174"/>
      <c r="BL22" s="174"/>
    </row>
    <row r="23" spans="1:64" ht="21" customHeight="1">
      <c r="A23" s="332"/>
      <c r="B23" s="333"/>
      <c r="C23" s="333"/>
      <c r="D23" s="334"/>
      <c r="E23" s="334"/>
      <c r="F23" s="334"/>
      <c r="G23" s="334"/>
      <c r="H23" s="332"/>
      <c r="I23" s="333"/>
      <c r="J23" s="335"/>
      <c r="K23" s="335"/>
      <c r="L23" s="335"/>
      <c r="M23" s="336"/>
      <c r="N23" s="335"/>
      <c r="O23" s="335"/>
      <c r="P23" s="335"/>
      <c r="Q23" s="335"/>
      <c r="R23" s="335"/>
      <c r="S23" s="336"/>
      <c r="T23" s="336"/>
      <c r="U23" s="336"/>
      <c r="V23" s="332"/>
      <c r="W23" s="333"/>
      <c r="X23" s="337"/>
      <c r="Y23" s="336"/>
      <c r="Z23" s="336"/>
      <c r="AA23" s="337"/>
      <c r="AB23" s="336"/>
      <c r="AC23" s="336"/>
      <c r="AD23" s="336"/>
      <c r="AE23" s="336"/>
      <c r="AF23" s="337"/>
      <c r="AG23" s="337"/>
      <c r="AH23" s="338"/>
      <c r="AI23" s="335"/>
      <c r="AJ23" s="336"/>
      <c r="AK23" s="332"/>
      <c r="AL23" s="333"/>
      <c r="AM23" s="335"/>
      <c r="AN23" s="336"/>
      <c r="AO23" s="335"/>
      <c r="AP23" s="336"/>
      <c r="AQ23" s="335"/>
      <c r="AR23" s="336"/>
      <c r="AS23" s="336"/>
      <c r="AT23" s="336"/>
      <c r="AU23" s="336"/>
      <c r="AV23" s="336"/>
      <c r="AW23" s="335"/>
      <c r="AX23" s="336"/>
      <c r="AY23" s="332"/>
      <c r="AZ23" s="333"/>
      <c r="BA23" s="333"/>
      <c r="BB23" s="339"/>
      <c r="BC23" s="336"/>
      <c r="BD23" s="340"/>
      <c r="BE23" s="340"/>
      <c r="BF23" s="340"/>
      <c r="BG23" s="340"/>
      <c r="BH23" s="340"/>
      <c r="BI23" s="341"/>
      <c r="BJ23" s="341"/>
      <c r="BK23" s="174"/>
      <c r="BL23" s="174"/>
    </row>
    <row r="24" spans="1:64" ht="15.75">
      <c r="A24" s="183"/>
      <c r="B24" s="184" t="s">
        <v>369</v>
      </c>
      <c r="C24" s="184" t="s">
        <v>360</v>
      </c>
      <c r="D24" s="242"/>
      <c r="E24" s="242"/>
      <c r="F24" s="242"/>
      <c r="G24" s="242"/>
      <c r="H24" s="185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208"/>
      <c r="AD24" s="162"/>
      <c r="AE24" s="162"/>
      <c r="AF24" s="208"/>
      <c r="AG24" s="208"/>
      <c r="AH24" s="186"/>
      <c r="AI24" s="162"/>
      <c r="AJ24" s="208"/>
      <c r="AK24" s="162"/>
      <c r="AL24" s="162"/>
      <c r="AM24" s="162"/>
      <c r="AN24" s="208"/>
      <c r="AO24" s="208"/>
      <c r="AP24" s="208"/>
      <c r="AQ24" s="162"/>
      <c r="AR24" s="208"/>
      <c r="AS24" s="162"/>
      <c r="AT24" s="208"/>
      <c r="AU24" s="162"/>
      <c r="AV24" s="162"/>
      <c r="AW24" s="162"/>
      <c r="AX24" s="162"/>
      <c r="AY24" s="162"/>
      <c r="AZ24" s="162"/>
      <c r="BA24" s="162"/>
      <c r="BB24" s="162"/>
      <c r="BC24" s="187"/>
      <c r="BD24" s="187"/>
      <c r="BE24" s="187"/>
      <c r="BF24" s="187"/>
      <c r="BG24" s="275"/>
      <c r="BH24" s="187"/>
      <c r="BI24" s="187"/>
      <c r="BJ24" s="187"/>
      <c r="BK24" s="162"/>
      <c r="BL24" s="162"/>
    </row>
    <row r="25" spans="1:64">
      <c r="A25" s="185"/>
      <c r="B25" s="188" t="s">
        <v>403</v>
      </c>
      <c r="C25" s="188" t="s">
        <v>406</v>
      </c>
      <c r="D25" s="243"/>
      <c r="E25" s="243"/>
      <c r="F25" s="243"/>
      <c r="G25" s="243"/>
      <c r="H25" s="185"/>
      <c r="I25" s="162"/>
      <c r="J25" s="162"/>
      <c r="K25" s="189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208"/>
      <c r="AD25" s="162"/>
      <c r="AE25" s="162"/>
      <c r="AF25" s="208"/>
      <c r="AG25" s="208"/>
      <c r="AH25" s="162"/>
      <c r="AI25" s="162"/>
      <c r="AJ25" s="208"/>
      <c r="AK25" s="162"/>
      <c r="AL25" s="162"/>
      <c r="AM25" s="162"/>
      <c r="AN25" s="208"/>
      <c r="AO25" s="208"/>
      <c r="AP25" s="208"/>
      <c r="AQ25" s="162"/>
      <c r="AR25" s="208"/>
      <c r="AS25" s="162"/>
      <c r="AT25" s="208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87"/>
      <c r="BF25" s="276"/>
      <c r="BG25" s="277"/>
      <c r="BH25" s="162"/>
      <c r="BI25" s="162"/>
      <c r="BJ25" s="162"/>
      <c r="BK25" s="162"/>
      <c r="BL25" s="162"/>
    </row>
    <row r="26" spans="1:64">
      <c r="A26" s="185"/>
      <c r="B26" s="162"/>
      <c r="C26" s="162"/>
      <c r="D26" s="243"/>
      <c r="E26" s="243"/>
      <c r="F26" s="243"/>
      <c r="G26" s="243"/>
      <c r="H26" s="185"/>
      <c r="I26" s="162"/>
      <c r="J26" s="162"/>
      <c r="K26" s="189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208"/>
      <c r="AD26" s="162"/>
      <c r="AE26" s="162"/>
      <c r="AF26" s="208"/>
      <c r="AG26" s="208"/>
      <c r="AH26" s="162"/>
      <c r="AI26" s="162"/>
      <c r="AJ26" s="208"/>
      <c r="AK26" s="162"/>
      <c r="AL26" s="162"/>
      <c r="AM26" s="162"/>
      <c r="AN26" s="208"/>
      <c r="AO26" s="208"/>
      <c r="AP26" s="208"/>
      <c r="AQ26" s="162"/>
      <c r="AR26" s="208"/>
      <c r="AS26" s="162"/>
      <c r="AT26" s="208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90"/>
      <c r="BF26" s="190"/>
      <c r="BG26" s="277"/>
      <c r="BH26" s="162"/>
      <c r="BI26" s="162"/>
      <c r="BJ26" s="162"/>
      <c r="BK26" s="162"/>
      <c r="BL26" s="162"/>
    </row>
    <row r="27" spans="1:64">
      <c r="A27" s="185"/>
      <c r="B27" s="162"/>
      <c r="C27" s="162"/>
      <c r="D27" s="243"/>
      <c r="E27" s="243"/>
      <c r="F27" s="243"/>
      <c r="G27" s="243"/>
      <c r="H27" s="185"/>
      <c r="I27" s="162"/>
      <c r="J27" s="162"/>
      <c r="K27" s="190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208"/>
      <c r="AD27" s="162"/>
      <c r="AE27" s="162"/>
      <c r="AF27" s="208"/>
      <c r="AG27" s="208"/>
      <c r="AH27" s="162"/>
      <c r="AI27" s="162"/>
      <c r="AJ27" s="208"/>
      <c r="AK27" s="162"/>
      <c r="AL27" s="162"/>
      <c r="AM27" s="162"/>
      <c r="AN27" s="208"/>
      <c r="AO27" s="208"/>
      <c r="AP27" s="208"/>
      <c r="AQ27" s="162"/>
      <c r="AR27" s="208"/>
      <c r="AS27" s="162"/>
      <c r="AT27" s="208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</row>
    <row r="28" spans="1:64">
      <c r="A28" s="264"/>
      <c r="H28" s="264"/>
      <c r="K28" s="3"/>
    </row>
  </sheetData>
  <mergeCells count="28">
    <mergeCell ref="AW7:AX7"/>
    <mergeCell ref="BA7:BB7"/>
    <mergeCell ref="AQ6:AR6"/>
    <mergeCell ref="AS6:AT6"/>
    <mergeCell ref="AW6:AX6"/>
    <mergeCell ref="BA6:BB6"/>
    <mergeCell ref="AS7:AT7"/>
    <mergeCell ref="AB7:AC7"/>
    <mergeCell ref="AD7:AF7"/>
    <mergeCell ref="AI7:AJ7"/>
    <mergeCell ref="AM7:AN7"/>
    <mergeCell ref="AQ7:AR7"/>
    <mergeCell ref="AB5:AJ5"/>
    <mergeCell ref="AM5:AU5"/>
    <mergeCell ref="AW5:AX5"/>
    <mergeCell ref="BA5:BC5"/>
    <mergeCell ref="N6:R6"/>
    <mergeCell ref="S6:U6"/>
    <mergeCell ref="AB6:AC6"/>
    <mergeCell ref="AD6:AF6"/>
    <mergeCell ref="AG6:AJ6"/>
    <mergeCell ref="AM6:AN6"/>
    <mergeCell ref="S5:U5"/>
    <mergeCell ref="B1:F1"/>
    <mergeCell ref="B2:F2"/>
    <mergeCell ref="C3:E3"/>
    <mergeCell ref="J5:L5"/>
    <mergeCell ref="N5:R5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4:AF30"/>
  <sheetViews>
    <sheetView view="pageBreakPreview" zoomScaleSheetLayoutView="100" workbookViewId="0">
      <selection activeCell="B21" sqref="B21"/>
    </sheetView>
  </sheetViews>
  <sheetFormatPr defaultRowHeight="15"/>
  <cols>
    <col min="1" max="1" width="4.140625" customWidth="1"/>
    <col min="2" max="2" width="45.85546875" customWidth="1"/>
    <col min="3" max="3" width="22.85546875" customWidth="1"/>
    <col min="4" max="4" width="12.42578125" customWidth="1"/>
    <col min="5" max="5" width="9" customWidth="1"/>
    <col min="6" max="6" width="18.5703125" customWidth="1"/>
    <col min="7" max="7" width="10.140625" customWidth="1"/>
    <col min="8" max="8" width="7.7109375" customWidth="1"/>
    <col min="9" max="9" width="5.85546875" customWidth="1"/>
    <col min="10" max="10" width="42.42578125" customWidth="1"/>
    <col min="11" max="11" width="8.140625" customWidth="1"/>
    <col min="12" max="12" width="7" customWidth="1"/>
    <col min="13" max="13" width="6.85546875" customWidth="1"/>
    <col min="15" max="15" width="7.5703125" customWidth="1"/>
    <col min="16" max="16" width="10.5703125" customWidth="1"/>
    <col min="17" max="17" width="7.85546875" customWidth="1"/>
    <col min="18" max="18" width="6.5703125" customWidth="1"/>
    <col min="19" max="19" width="5.42578125" customWidth="1"/>
    <col min="20" max="20" width="11.28515625" customWidth="1"/>
    <col min="21" max="21" width="3.28515625" customWidth="1"/>
    <col min="22" max="22" width="38.28515625" customWidth="1"/>
    <col min="23" max="23" width="8.140625" customWidth="1"/>
    <col min="24" max="24" width="6.140625" customWidth="1"/>
    <col min="25" max="25" width="7.85546875" customWidth="1"/>
    <col min="26" max="26" width="7.7109375" customWidth="1"/>
    <col min="27" max="27" width="7.85546875" customWidth="1"/>
    <col min="28" max="28" width="8.7109375" customWidth="1"/>
    <col min="29" max="29" width="7.42578125" customWidth="1"/>
    <col min="31" max="31" width="7.85546875" customWidth="1"/>
  </cols>
  <sheetData>
    <row r="4" spans="1:32">
      <c r="B4" s="449" t="s">
        <v>200</v>
      </c>
      <c r="C4" s="449"/>
      <c r="D4" s="449"/>
      <c r="E4" s="449"/>
      <c r="F4" s="449"/>
      <c r="G4" s="449"/>
      <c r="H4" s="63"/>
      <c r="I4" s="2"/>
      <c r="J4" s="2"/>
      <c r="K4" s="2"/>
      <c r="L4" s="2"/>
    </row>
    <row r="5" spans="1:32">
      <c r="B5" s="449" t="s">
        <v>348</v>
      </c>
      <c r="C5" s="449"/>
      <c r="D5" s="449"/>
      <c r="E5" s="449"/>
      <c r="F5" s="449"/>
      <c r="G5" s="449"/>
      <c r="H5" s="63"/>
      <c r="I5" s="2"/>
      <c r="J5" s="2"/>
      <c r="K5" s="2"/>
      <c r="L5" s="2"/>
      <c r="R5" t="s">
        <v>268</v>
      </c>
      <c r="T5" s="64"/>
      <c r="AA5" s="64"/>
      <c r="AB5" s="64"/>
      <c r="AD5" t="s">
        <v>36</v>
      </c>
      <c r="AF5" s="64">
        <v>2</v>
      </c>
    </row>
    <row r="6" spans="1:32">
      <c r="B6" s="74"/>
      <c r="C6" s="115" t="s">
        <v>427</v>
      </c>
      <c r="D6" s="461" t="s">
        <v>428</v>
      </c>
      <c r="E6" s="461"/>
      <c r="F6" s="461"/>
      <c r="G6" s="74"/>
      <c r="H6" s="63"/>
      <c r="I6" s="2"/>
      <c r="J6" s="2"/>
      <c r="K6" s="2"/>
      <c r="L6" s="2"/>
      <c r="AA6" s="64"/>
      <c r="AB6" s="64"/>
    </row>
    <row r="7" spans="1:32">
      <c r="B7" s="65"/>
      <c r="C7" s="115"/>
      <c r="D7" s="115"/>
      <c r="E7" s="115"/>
      <c r="F7" s="65"/>
      <c r="G7" s="65"/>
      <c r="H7" s="1"/>
      <c r="I7" s="2"/>
      <c r="J7" s="2"/>
      <c r="K7" s="2"/>
    </row>
    <row r="8" spans="1:32">
      <c r="A8" s="4"/>
      <c r="B8" s="11"/>
      <c r="C8" s="17" t="s">
        <v>197</v>
      </c>
      <c r="D8" s="17" t="s">
        <v>201</v>
      </c>
      <c r="E8" s="17" t="s">
        <v>8</v>
      </c>
      <c r="F8" s="17" t="s">
        <v>124</v>
      </c>
      <c r="G8" s="17" t="s">
        <v>149</v>
      </c>
      <c r="H8" s="20" t="s">
        <v>132</v>
      </c>
      <c r="I8" s="36"/>
      <c r="J8" s="11"/>
      <c r="K8" s="451" t="s">
        <v>266</v>
      </c>
      <c r="L8" s="452"/>
      <c r="M8" s="460"/>
      <c r="N8" s="20" t="s">
        <v>159</v>
      </c>
      <c r="O8" s="75"/>
      <c r="P8" s="118" t="s">
        <v>41</v>
      </c>
      <c r="Q8" s="446" t="s">
        <v>264</v>
      </c>
      <c r="R8" s="458"/>
      <c r="S8" s="458"/>
      <c r="T8" s="459"/>
      <c r="U8" s="36"/>
      <c r="V8" s="11"/>
      <c r="W8" s="15" t="s">
        <v>182</v>
      </c>
      <c r="X8" s="451" t="s">
        <v>152</v>
      </c>
      <c r="Y8" s="452"/>
      <c r="Z8" s="452"/>
      <c r="AA8" s="452"/>
      <c r="AB8" s="452"/>
      <c r="AC8" s="79"/>
      <c r="AD8" s="119" t="s">
        <v>33</v>
      </c>
      <c r="AE8" s="119" t="s">
        <v>45</v>
      </c>
      <c r="AF8" s="30" t="s">
        <v>169</v>
      </c>
    </row>
    <row r="9" spans="1:32">
      <c r="A9" s="5" t="s">
        <v>12</v>
      </c>
      <c r="B9" s="12" t="s">
        <v>0</v>
      </c>
      <c r="C9" s="18" t="s">
        <v>7</v>
      </c>
      <c r="D9" s="18" t="s">
        <v>9</v>
      </c>
      <c r="E9" s="18" t="s">
        <v>129</v>
      </c>
      <c r="F9" s="25" t="s">
        <v>125</v>
      </c>
      <c r="G9" s="25" t="s">
        <v>150</v>
      </c>
      <c r="H9" s="23" t="s">
        <v>265</v>
      </c>
      <c r="I9" s="37" t="s">
        <v>12</v>
      </c>
      <c r="J9" s="12" t="s">
        <v>0</v>
      </c>
      <c r="K9" s="23" t="s">
        <v>22</v>
      </c>
      <c r="L9" s="20" t="s">
        <v>19</v>
      </c>
      <c r="M9" s="20" t="s">
        <v>19</v>
      </c>
      <c r="N9" s="23" t="s">
        <v>15</v>
      </c>
      <c r="O9" s="76" t="s">
        <v>193</v>
      </c>
      <c r="P9" s="116" t="s">
        <v>42</v>
      </c>
      <c r="Q9" s="437" t="s">
        <v>37</v>
      </c>
      <c r="R9" s="438"/>
      <c r="S9" s="438"/>
      <c r="T9" s="439"/>
      <c r="U9" s="37" t="s">
        <v>12</v>
      </c>
      <c r="V9" s="12" t="s">
        <v>0</v>
      </c>
      <c r="W9" s="59" t="s">
        <v>173</v>
      </c>
      <c r="X9" s="415" t="s">
        <v>153</v>
      </c>
      <c r="Y9" s="416"/>
      <c r="Z9" s="415" t="s">
        <v>155</v>
      </c>
      <c r="AA9" s="416"/>
      <c r="AB9" s="76" t="s">
        <v>198</v>
      </c>
      <c r="AC9" s="18" t="s">
        <v>33</v>
      </c>
      <c r="AD9" s="117" t="s">
        <v>168</v>
      </c>
      <c r="AE9" s="117" t="s">
        <v>44</v>
      </c>
      <c r="AF9" s="25" t="s">
        <v>168</v>
      </c>
    </row>
    <row r="10" spans="1:32">
      <c r="A10" s="5" t="s">
        <v>13</v>
      </c>
      <c r="B10" s="12" t="s">
        <v>1</v>
      </c>
      <c r="C10" s="18" t="s">
        <v>192</v>
      </c>
      <c r="D10" s="18" t="s">
        <v>267</v>
      </c>
      <c r="E10" s="18" t="s">
        <v>9</v>
      </c>
      <c r="F10" s="25" t="s">
        <v>126</v>
      </c>
      <c r="G10" s="25" t="s">
        <v>151</v>
      </c>
      <c r="H10" s="23" t="s">
        <v>134</v>
      </c>
      <c r="I10" s="37" t="s">
        <v>13</v>
      </c>
      <c r="J10" s="12" t="s">
        <v>1</v>
      </c>
      <c r="K10" s="23" t="s">
        <v>137</v>
      </c>
      <c r="L10" s="23" t="s">
        <v>20</v>
      </c>
      <c r="M10" s="23" t="s">
        <v>23</v>
      </c>
      <c r="N10" s="66" t="s">
        <v>18</v>
      </c>
      <c r="O10" s="76" t="s">
        <v>195</v>
      </c>
      <c r="P10" s="18" t="s">
        <v>18</v>
      </c>
      <c r="Q10" s="105"/>
      <c r="R10" s="244"/>
      <c r="S10" s="247" t="s">
        <v>411</v>
      </c>
      <c r="T10" s="105"/>
      <c r="U10" s="5" t="s">
        <v>13</v>
      </c>
      <c r="V10" s="12" t="s">
        <v>1</v>
      </c>
      <c r="W10" s="59" t="s">
        <v>123</v>
      </c>
      <c r="X10" s="409" t="s">
        <v>154</v>
      </c>
      <c r="Y10" s="410"/>
      <c r="Z10" s="409" t="s">
        <v>156</v>
      </c>
      <c r="AA10" s="410"/>
      <c r="AB10" s="76" t="s">
        <v>199</v>
      </c>
      <c r="AC10" s="18" t="s">
        <v>37</v>
      </c>
      <c r="AD10" s="117" t="s">
        <v>167</v>
      </c>
      <c r="AE10" s="117" t="s">
        <v>43</v>
      </c>
      <c r="AF10" s="25" t="s">
        <v>139</v>
      </c>
    </row>
    <row r="11" spans="1:32">
      <c r="A11" s="5"/>
      <c r="B11" s="13" t="s">
        <v>2</v>
      </c>
      <c r="C11" s="25" t="s">
        <v>4</v>
      </c>
      <c r="D11" s="25" t="s">
        <v>121</v>
      </c>
      <c r="E11" s="18" t="s">
        <v>130</v>
      </c>
      <c r="F11" s="25" t="s">
        <v>127</v>
      </c>
      <c r="G11" s="25" t="s">
        <v>10</v>
      </c>
      <c r="H11" s="23" t="s">
        <v>140</v>
      </c>
      <c r="I11" s="37"/>
      <c r="J11" s="13" t="s">
        <v>2</v>
      </c>
      <c r="K11" s="23" t="s">
        <v>138</v>
      </c>
      <c r="L11" s="23" t="s">
        <v>59</v>
      </c>
      <c r="M11" s="23" t="s">
        <v>24</v>
      </c>
      <c r="N11" s="66" t="s">
        <v>160</v>
      </c>
      <c r="O11" s="84" t="s">
        <v>196</v>
      </c>
      <c r="P11" s="18" t="s">
        <v>194</v>
      </c>
      <c r="Q11" s="18"/>
      <c r="R11" s="117"/>
      <c r="S11" s="73"/>
      <c r="T11" s="18" t="s">
        <v>169</v>
      </c>
      <c r="U11" s="5"/>
      <c r="V11" s="13" t="s">
        <v>2</v>
      </c>
      <c r="W11" s="59" t="s">
        <v>174</v>
      </c>
      <c r="X11" s="85" t="s">
        <v>146</v>
      </c>
      <c r="Y11" s="20" t="s">
        <v>61</v>
      </c>
      <c r="Z11" s="78" t="s">
        <v>146</v>
      </c>
      <c r="AA11" s="20" t="s">
        <v>61</v>
      </c>
      <c r="AB11" s="84" t="s">
        <v>39</v>
      </c>
      <c r="AC11" s="18" t="s">
        <v>161</v>
      </c>
      <c r="AD11" s="117" t="s">
        <v>48</v>
      </c>
      <c r="AE11" s="117" t="s">
        <v>46</v>
      </c>
      <c r="AF11" s="25" t="s">
        <v>76</v>
      </c>
    </row>
    <row r="12" spans="1:32">
      <c r="A12" s="5"/>
      <c r="B12" s="12"/>
      <c r="C12" s="12"/>
      <c r="D12" s="18" t="s">
        <v>203</v>
      </c>
      <c r="E12" s="18" t="s">
        <v>131</v>
      </c>
      <c r="F12" s="18" t="s">
        <v>128</v>
      </c>
      <c r="G12" s="25" t="s">
        <v>11</v>
      </c>
      <c r="H12" s="18"/>
      <c r="I12" s="37"/>
      <c r="J12" s="12"/>
      <c r="K12" s="23" t="s">
        <v>21</v>
      </c>
      <c r="L12" s="23" t="s">
        <v>28</v>
      </c>
      <c r="M12" s="23" t="s">
        <v>9</v>
      </c>
      <c r="N12" s="66" t="s">
        <v>29</v>
      </c>
      <c r="O12" s="76"/>
      <c r="P12" s="18"/>
      <c r="Q12" s="19"/>
      <c r="R12" s="117"/>
      <c r="S12" s="73"/>
      <c r="T12" s="19"/>
      <c r="U12" s="6"/>
      <c r="V12" s="12"/>
      <c r="W12" s="59" t="s">
        <v>175</v>
      </c>
      <c r="X12" s="86" t="s">
        <v>144</v>
      </c>
      <c r="Y12" s="23" t="s">
        <v>62</v>
      </c>
      <c r="Z12" s="22" t="s">
        <v>144</v>
      </c>
      <c r="AA12" s="23" t="s">
        <v>62</v>
      </c>
      <c r="AB12" s="76" t="s">
        <v>40</v>
      </c>
      <c r="AC12" s="18" t="s">
        <v>38</v>
      </c>
      <c r="AD12" s="82"/>
      <c r="AE12" s="77"/>
      <c r="AF12" s="89"/>
    </row>
    <row r="13" spans="1:32">
      <c r="A13" s="57"/>
      <c r="B13" s="57">
        <v>1</v>
      </c>
      <c r="C13" s="81">
        <v>2</v>
      </c>
      <c r="D13" s="105">
        <v>3</v>
      </c>
      <c r="E13" s="105">
        <v>4</v>
      </c>
      <c r="F13" s="81">
        <v>5</v>
      </c>
      <c r="G13" s="81">
        <v>6</v>
      </c>
      <c r="H13" s="81">
        <v>7</v>
      </c>
      <c r="I13" s="10"/>
      <c r="J13" s="10"/>
      <c r="K13" s="81">
        <v>8</v>
      </c>
      <c r="L13" s="81">
        <v>9</v>
      </c>
      <c r="M13" s="81">
        <v>10</v>
      </c>
      <c r="N13" s="81">
        <v>11</v>
      </c>
      <c r="O13" s="81">
        <v>12</v>
      </c>
      <c r="P13" s="27">
        <v>13</v>
      </c>
      <c r="Q13" s="27">
        <v>14</v>
      </c>
      <c r="R13" s="27">
        <v>15</v>
      </c>
      <c r="S13" s="81">
        <v>16</v>
      </c>
      <c r="T13" s="81">
        <v>17</v>
      </c>
      <c r="U13" s="10"/>
      <c r="V13" s="10"/>
      <c r="W13" s="81">
        <v>18</v>
      </c>
      <c r="X13" s="81">
        <v>19</v>
      </c>
      <c r="Y13" s="81">
        <v>20</v>
      </c>
      <c r="Z13" s="81">
        <v>21</v>
      </c>
      <c r="AA13" s="81">
        <v>22</v>
      </c>
      <c r="AB13" s="81">
        <v>23</v>
      </c>
      <c r="AC13" s="81">
        <v>24</v>
      </c>
      <c r="AD13" s="81">
        <v>25</v>
      </c>
      <c r="AE13" s="81">
        <v>26</v>
      </c>
      <c r="AF13" s="81">
        <v>27</v>
      </c>
    </row>
    <row r="14" spans="1:32" s="62" customFormat="1" ht="25.5">
      <c r="A14" s="309">
        <v>1</v>
      </c>
      <c r="B14" s="310" t="s">
        <v>300</v>
      </c>
      <c r="C14" s="311" t="s">
        <v>345</v>
      </c>
      <c r="D14" s="311" t="s">
        <v>346</v>
      </c>
      <c r="E14" s="311">
        <v>36</v>
      </c>
      <c r="F14" s="312" t="s">
        <v>347</v>
      </c>
      <c r="G14" s="10" t="s">
        <v>435</v>
      </c>
      <c r="H14" s="311">
        <v>12179</v>
      </c>
      <c r="I14" s="309">
        <v>1</v>
      </c>
      <c r="J14" s="310" t="s">
        <v>300</v>
      </c>
      <c r="K14" s="313">
        <v>0.25</v>
      </c>
      <c r="L14" s="314"/>
      <c r="M14" s="314"/>
      <c r="N14" s="307">
        <f>H14*(1+K14+L14+M14)</f>
        <v>15223.75</v>
      </c>
      <c r="O14" s="315">
        <v>1</v>
      </c>
      <c r="P14" s="307">
        <f>N14*O14</f>
        <v>15223.75</v>
      </c>
      <c r="Q14" s="316">
        <v>0</v>
      </c>
      <c r="R14" s="316"/>
      <c r="S14" s="54">
        <v>0</v>
      </c>
      <c r="T14" s="307">
        <f>Q14+S14</f>
        <v>0</v>
      </c>
      <c r="U14" s="309">
        <v>1</v>
      </c>
      <c r="V14" s="310" t="s">
        <v>300</v>
      </c>
      <c r="W14" s="307">
        <f>P14+T14</f>
        <v>15223.75</v>
      </c>
      <c r="X14" s="307">
        <v>10</v>
      </c>
      <c r="Y14" s="308">
        <f>W14*X14/100</f>
        <v>1522.375</v>
      </c>
      <c r="Z14" s="314">
        <v>0.05</v>
      </c>
      <c r="AA14" s="308">
        <f>W14*Z14</f>
        <v>761.1875</v>
      </c>
      <c r="AB14" s="316">
        <v>0</v>
      </c>
      <c r="AC14" s="307">
        <f>Y14+AA14+AB14</f>
        <v>2283.5625</v>
      </c>
      <c r="AD14" s="307">
        <f>W14+AC14</f>
        <v>17507.3125</v>
      </c>
      <c r="AE14" s="307">
        <f>AD14*0.15</f>
        <v>2626.0968749999997</v>
      </c>
      <c r="AF14" s="87">
        <f>AD14+AE14</f>
        <v>20133.409374999999</v>
      </c>
    </row>
    <row r="15" spans="1:32" s="62" customFormat="1">
      <c r="A15" s="309">
        <v>2</v>
      </c>
      <c r="B15" s="310" t="s">
        <v>322</v>
      </c>
      <c r="C15" s="311" t="s">
        <v>234</v>
      </c>
      <c r="D15" s="311" t="s">
        <v>346</v>
      </c>
      <c r="E15" s="311">
        <v>31</v>
      </c>
      <c r="F15" s="10"/>
      <c r="G15" s="10" t="s">
        <v>372</v>
      </c>
      <c r="H15" s="311">
        <v>10441</v>
      </c>
      <c r="I15" s="309">
        <v>2</v>
      </c>
      <c r="J15" s="310" t="s">
        <v>322</v>
      </c>
      <c r="K15" s="314">
        <v>0.25</v>
      </c>
      <c r="L15" s="314"/>
      <c r="M15" s="314"/>
      <c r="N15" s="307">
        <f t="shared" ref="N15:N18" si="0">H15*(1+K15+L15+M15)</f>
        <v>13051.25</v>
      </c>
      <c r="O15" s="315">
        <v>1</v>
      </c>
      <c r="P15" s="307">
        <f t="shared" ref="P15:P19" si="1">N15*O15</f>
        <v>13051.25</v>
      </c>
      <c r="Q15" s="317"/>
      <c r="R15" s="317"/>
      <c r="S15" s="318"/>
      <c r="T15" s="307">
        <f t="shared" ref="T15:T20" si="2">Q15+S15</f>
        <v>0</v>
      </c>
      <c r="U15" s="309">
        <v>2</v>
      </c>
      <c r="V15" s="310" t="s">
        <v>322</v>
      </c>
      <c r="W15" s="307">
        <f t="shared" ref="W15:W19" si="3">P15+T15</f>
        <v>13051.25</v>
      </c>
      <c r="X15" s="307">
        <v>10</v>
      </c>
      <c r="Y15" s="308">
        <f>W15*X15/100</f>
        <v>1305.125</v>
      </c>
      <c r="Z15" s="314">
        <v>0.05</v>
      </c>
      <c r="AA15" s="308">
        <f t="shared" ref="AA15:AA20" si="4">W15*Z15</f>
        <v>652.5625</v>
      </c>
      <c r="AB15" s="316">
        <v>0</v>
      </c>
      <c r="AC15" s="307">
        <f t="shared" ref="AC15:AC21" si="5">Y15+AA15+AB15</f>
        <v>1957.6875</v>
      </c>
      <c r="AD15" s="307">
        <f t="shared" ref="AD15:AD19" si="6">W15+AC15</f>
        <v>15008.9375</v>
      </c>
      <c r="AE15" s="307">
        <f t="shared" ref="AE15:AE19" si="7">AD15*0.15</f>
        <v>2251.3406249999998</v>
      </c>
      <c r="AF15" s="87">
        <f t="shared" ref="AF15:AF18" si="8">AD15+AE15</f>
        <v>17260.278125000001</v>
      </c>
    </row>
    <row r="16" spans="1:32" s="62" customFormat="1">
      <c r="A16" s="309">
        <v>3</v>
      </c>
      <c r="B16" s="310" t="s">
        <v>343</v>
      </c>
      <c r="C16" s="311" t="s">
        <v>241</v>
      </c>
      <c r="D16" s="311" t="s">
        <v>346</v>
      </c>
      <c r="E16" s="311">
        <v>10</v>
      </c>
      <c r="F16" s="312"/>
      <c r="G16" s="10" t="s">
        <v>372</v>
      </c>
      <c r="H16" s="311">
        <v>10441</v>
      </c>
      <c r="I16" s="309">
        <v>3</v>
      </c>
      <c r="J16" s="310" t="s">
        <v>343</v>
      </c>
      <c r="K16" s="314">
        <v>0.25</v>
      </c>
      <c r="L16" s="314"/>
      <c r="M16" s="314"/>
      <c r="N16" s="307">
        <f t="shared" si="0"/>
        <v>13051.25</v>
      </c>
      <c r="O16" s="315">
        <v>1</v>
      </c>
      <c r="P16" s="307">
        <f t="shared" si="1"/>
        <v>13051.25</v>
      </c>
      <c r="Q16" s="317"/>
      <c r="R16" s="317"/>
      <c r="S16" s="318"/>
      <c r="T16" s="307">
        <f t="shared" si="2"/>
        <v>0</v>
      </c>
      <c r="U16" s="309">
        <v>3</v>
      </c>
      <c r="V16" s="310" t="s">
        <v>343</v>
      </c>
      <c r="W16" s="307">
        <f t="shared" si="3"/>
        <v>13051.25</v>
      </c>
      <c r="X16" s="307"/>
      <c r="Y16" s="314">
        <f t="shared" ref="Y16" si="9">W16*X16</f>
        <v>0</v>
      </c>
      <c r="Z16" s="314">
        <v>0.03</v>
      </c>
      <c r="AA16" s="308">
        <f t="shared" si="4"/>
        <v>391.53749999999997</v>
      </c>
      <c r="AB16" s="316">
        <v>0</v>
      </c>
      <c r="AC16" s="307">
        <f t="shared" si="5"/>
        <v>391.53749999999997</v>
      </c>
      <c r="AD16" s="307">
        <f t="shared" si="6"/>
        <v>13442.7875</v>
      </c>
      <c r="AE16" s="307">
        <f t="shared" si="7"/>
        <v>2016.4181249999999</v>
      </c>
      <c r="AF16" s="87">
        <f t="shared" si="8"/>
        <v>15459.205625000001</v>
      </c>
    </row>
    <row r="17" spans="1:32" s="62" customFormat="1">
      <c r="A17" s="309">
        <v>4</v>
      </c>
      <c r="B17" s="319" t="s">
        <v>330</v>
      </c>
      <c r="C17" s="311" t="s">
        <v>367</v>
      </c>
      <c r="D17" s="311" t="s">
        <v>346</v>
      </c>
      <c r="E17" s="311">
        <v>31</v>
      </c>
      <c r="F17" s="312"/>
      <c r="G17" s="10" t="s">
        <v>372</v>
      </c>
      <c r="H17" s="311">
        <v>9668</v>
      </c>
      <c r="I17" s="309">
        <v>4</v>
      </c>
      <c r="J17" s="319" t="s">
        <v>330</v>
      </c>
      <c r="K17" s="314">
        <v>0.25</v>
      </c>
      <c r="L17" s="314"/>
      <c r="M17" s="314"/>
      <c r="N17" s="307">
        <f t="shared" si="0"/>
        <v>12085</v>
      </c>
      <c r="O17" s="315">
        <v>1</v>
      </c>
      <c r="P17" s="307">
        <f t="shared" si="1"/>
        <v>12085</v>
      </c>
      <c r="Q17" s="317"/>
      <c r="R17" s="317"/>
      <c r="S17" s="318"/>
      <c r="T17" s="307">
        <f t="shared" si="2"/>
        <v>0</v>
      </c>
      <c r="U17" s="309">
        <v>4</v>
      </c>
      <c r="V17" s="319" t="s">
        <v>330</v>
      </c>
      <c r="W17" s="307">
        <f t="shared" si="3"/>
        <v>12085</v>
      </c>
      <c r="X17" s="307"/>
      <c r="Y17" s="314"/>
      <c r="Z17" s="314">
        <v>0.05</v>
      </c>
      <c r="AA17" s="308">
        <f t="shared" si="4"/>
        <v>604.25</v>
      </c>
      <c r="AB17" s="316"/>
      <c r="AC17" s="307">
        <f t="shared" si="5"/>
        <v>604.25</v>
      </c>
      <c r="AD17" s="307">
        <f t="shared" si="6"/>
        <v>12689.25</v>
      </c>
      <c r="AE17" s="307">
        <f t="shared" si="7"/>
        <v>1903.3874999999998</v>
      </c>
      <c r="AF17" s="87">
        <f t="shared" si="8"/>
        <v>14592.637500000001</v>
      </c>
    </row>
    <row r="18" spans="1:32" s="62" customFormat="1" ht="15" customHeight="1">
      <c r="A18" s="309">
        <v>5</v>
      </c>
      <c r="B18" s="319" t="s">
        <v>370</v>
      </c>
      <c r="C18" s="311" t="s">
        <v>425</v>
      </c>
      <c r="D18" s="311" t="s">
        <v>412</v>
      </c>
      <c r="E18" s="311">
        <v>51</v>
      </c>
      <c r="F18" s="312" t="s">
        <v>371</v>
      </c>
      <c r="G18" s="10" t="s">
        <v>233</v>
      </c>
      <c r="H18" s="311">
        <v>12179</v>
      </c>
      <c r="I18" s="309">
        <v>5</v>
      </c>
      <c r="J18" s="319" t="s">
        <v>370</v>
      </c>
      <c r="K18" s="314">
        <v>0.25</v>
      </c>
      <c r="L18" s="314"/>
      <c r="M18" s="314">
        <v>0.08</v>
      </c>
      <c r="N18" s="307">
        <f t="shared" si="0"/>
        <v>16198.070000000002</v>
      </c>
      <c r="O18" s="315">
        <v>0.5</v>
      </c>
      <c r="P18" s="307">
        <f t="shared" si="1"/>
        <v>8099.0350000000008</v>
      </c>
      <c r="Q18" s="317"/>
      <c r="R18" s="317"/>
      <c r="S18" s="318"/>
      <c r="T18" s="307">
        <f t="shared" si="2"/>
        <v>0</v>
      </c>
      <c r="U18" s="309">
        <v>5</v>
      </c>
      <c r="V18" s="319" t="s">
        <v>370</v>
      </c>
      <c r="W18" s="307">
        <f t="shared" si="3"/>
        <v>8099.0350000000008</v>
      </c>
      <c r="X18" s="307">
        <v>10</v>
      </c>
      <c r="Y18" s="308">
        <f>W18*X18/100</f>
        <v>809.90350000000001</v>
      </c>
      <c r="Z18" s="314">
        <v>0.05</v>
      </c>
      <c r="AA18" s="308">
        <f t="shared" si="4"/>
        <v>404.95175000000006</v>
      </c>
      <c r="AB18" s="316"/>
      <c r="AC18" s="307">
        <f t="shared" si="5"/>
        <v>1214.8552500000001</v>
      </c>
      <c r="AD18" s="307">
        <f t="shared" si="6"/>
        <v>9313.8902500000004</v>
      </c>
      <c r="AE18" s="307">
        <f t="shared" si="7"/>
        <v>1397.0835374999999</v>
      </c>
      <c r="AF18" s="87">
        <f t="shared" si="8"/>
        <v>10710.973787500001</v>
      </c>
    </row>
    <row r="19" spans="1:32" s="62" customFormat="1">
      <c r="A19" s="309">
        <v>6</v>
      </c>
      <c r="B19" s="320" t="s">
        <v>344</v>
      </c>
      <c r="C19" s="314" t="s">
        <v>434</v>
      </c>
      <c r="D19" s="314" t="s">
        <v>346</v>
      </c>
      <c r="E19" s="314">
        <v>12</v>
      </c>
      <c r="F19" s="321"/>
      <c r="G19" s="10" t="s">
        <v>372</v>
      </c>
      <c r="H19" s="311">
        <v>10441</v>
      </c>
      <c r="I19" s="309">
        <v>6</v>
      </c>
      <c r="J19" s="320" t="s">
        <v>344</v>
      </c>
      <c r="K19" s="314">
        <v>0.25</v>
      </c>
      <c r="L19" s="314"/>
      <c r="M19" s="314"/>
      <c r="N19" s="307">
        <f t="shared" ref="N19" si="10">H19*(1+K19+L19+M19)</f>
        <v>13051.25</v>
      </c>
      <c r="O19" s="315">
        <v>1</v>
      </c>
      <c r="P19" s="307">
        <f t="shared" si="1"/>
        <v>13051.25</v>
      </c>
      <c r="Q19" s="317"/>
      <c r="R19" s="317"/>
      <c r="S19" s="318"/>
      <c r="T19" s="307">
        <f t="shared" si="2"/>
        <v>0</v>
      </c>
      <c r="U19" s="309">
        <v>6</v>
      </c>
      <c r="V19" s="320" t="s">
        <v>344</v>
      </c>
      <c r="W19" s="307">
        <f t="shared" si="3"/>
        <v>13051.25</v>
      </c>
      <c r="X19" s="307"/>
      <c r="Y19" s="314">
        <f t="shared" ref="Y19" si="11">W19*X19</f>
        <v>0</v>
      </c>
      <c r="Z19" s="314">
        <v>0.04</v>
      </c>
      <c r="AA19" s="308">
        <f t="shared" si="4"/>
        <v>522.04999999999995</v>
      </c>
      <c r="AB19" s="316">
        <v>0</v>
      </c>
      <c r="AC19" s="307">
        <f t="shared" si="5"/>
        <v>522.04999999999995</v>
      </c>
      <c r="AD19" s="307">
        <f t="shared" si="6"/>
        <v>13573.3</v>
      </c>
      <c r="AE19" s="307">
        <f t="shared" si="7"/>
        <v>2035.9949999999999</v>
      </c>
      <c r="AF19" s="87">
        <f t="shared" ref="AF19" si="12">AD19+AE19</f>
        <v>15609.294999999998</v>
      </c>
    </row>
    <row r="20" spans="1:32" s="62" customFormat="1" ht="15.75">
      <c r="A20" s="309">
        <v>7</v>
      </c>
      <c r="B20" s="322" t="s">
        <v>313</v>
      </c>
      <c r="C20" s="315" t="s">
        <v>410</v>
      </c>
      <c r="D20" s="314" t="s">
        <v>121</v>
      </c>
      <c r="E20" s="10">
        <v>41</v>
      </c>
      <c r="F20" s="321"/>
      <c r="G20" s="10" t="s">
        <v>372</v>
      </c>
      <c r="H20" s="311">
        <v>10441</v>
      </c>
      <c r="I20" s="309">
        <v>7</v>
      </c>
      <c r="J20" s="322" t="s">
        <v>313</v>
      </c>
      <c r="K20" s="314">
        <v>0.25</v>
      </c>
      <c r="L20" s="314"/>
      <c r="M20" s="314"/>
      <c r="N20" s="307">
        <f t="shared" ref="N20" si="13">H20*(1+K20+L20+M20)</f>
        <v>13051.25</v>
      </c>
      <c r="O20" s="315">
        <v>1</v>
      </c>
      <c r="P20" s="307">
        <f t="shared" ref="P20" si="14">N20*O20</f>
        <v>13051.25</v>
      </c>
      <c r="Q20" s="323"/>
      <c r="R20" s="324">
        <v>0.06</v>
      </c>
      <c r="S20" s="320">
        <f>P20*R20</f>
        <v>783.07499999999993</v>
      </c>
      <c r="T20" s="307">
        <f t="shared" si="2"/>
        <v>783.07499999999993</v>
      </c>
      <c r="U20" s="309">
        <v>7</v>
      </c>
      <c r="V20" s="322" t="s">
        <v>313</v>
      </c>
      <c r="W20" s="307">
        <f>P20+T20</f>
        <v>13834.325000000001</v>
      </c>
      <c r="X20" s="307"/>
      <c r="Y20" s="314"/>
      <c r="Z20" s="314">
        <v>0.05</v>
      </c>
      <c r="AA20" s="308">
        <f t="shared" si="4"/>
        <v>691.71625000000006</v>
      </c>
      <c r="AB20" s="316"/>
      <c r="AC20" s="307">
        <f t="shared" si="5"/>
        <v>691.71625000000006</v>
      </c>
      <c r="AD20" s="307">
        <f t="shared" ref="AD20" si="15">W20+AC20</f>
        <v>14526.04125</v>
      </c>
      <c r="AE20" s="307">
        <f t="shared" ref="AE20" si="16">AD20*0.15</f>
        <v>2178.9061874999998</v>
      </c>
      <c r="AF20" s="87">
        <f t="shared" ref="AF20" si="17">AD20+AE20</f>
        <v>16704.947437499999</v>
      </c>
    </row>
    <row r="21" spans="1:32" s="62" customFormat="1" ht="15.75">
      <c r="A21" s="309">
        <v>8</v>
      </c>
      <c r="B21" s="322" t="s">
        <v>418</v>
      </c>
      <c r="C21" s="315" t="s">
        <v>373</v>
      </c>
      <c r="D21" s="314" t="s">
        <v>346</v>
      </c>
      <c r="E21" s="10">
        <v>0</v>
      </c>
      <c r="F21" s="321"/>
      <c r="G21" s="10" t="s">
        <v>372</v>
      </c>
      <c r="H21" s="311">
        <v>10441</v>
      </c>
      <c r="I21" s="309">
        <v>8</v>
      </c>
      <c r="J21" s="322" t="s">
        <v>418</v>
      </c>
      <c r="K21" s="314">
        <v>0.25</v>
      </c>
      <c r="L21" s="314"/>
      <c r="M21" s="314"/>
      <c r="N21" s="307">
        <f>H21*(1+K21+L21+M21)</f>
        <v>13051.25</v>
      </c>
      <c r="O21" s="315">
        <v>1</v>
      </c>
      <c r="P21" s="307">
        <f>N21*O21</f>
        <v>13051.25</v>
      </c>
      <c r="Q21" s="323"/>
      <c r="R21" s="323"/>
      <c r="S21" s="320"/>
      <c r="T21" s="307">
        <f>Q21+S21</f>
        <v>0</v>
      </c>
      <c r="U21" s="309">
        <v>8</v>
      </c>
      <c r="V21" s="322" t="s">
        <v>418</v>
      </c>
      <c r="W21" s="307">
        <f>P21+T21</f>
        <v>13051.25</v>
      </c>
      <c r="X21" s="307"/>
      <c r="Y21" s="314"/>
      <c r="Z21" s="314"/>
      <c r="AA21" s="308"/>
      <c r="AB21" s="316"/>
      <c r="AC21" s="307">
        <f t="shared" si="5"/>
        <v>0</v>
      </c>
      <c r="AD21" s="307">
        <f>W21+AC21</f>
        <v>13051.25</v>
      </c>
      <c r="AE21" s="307">
        <f>AD21*0.15</f>
        <v>1957.6875</v>
      </c>
      <c r="AF21" s="87">
        <f>AD21+AE21</f>
        <v>15008.9375</v>
      </c>
    </row>
    <row r="22" spans="1:32" ht="20.25" customHeight="1">
      <c r="A22" s="10"/>
      <c r="B22" s="50" t="s">
        <v>33</v>
      </c>
      <c r="C22" s="50" t="s">
        <v>64</v>
      </c>
      <c r="D22" s="50"/>
      <c r="E22" s="50"/>
      <c r="F22" s="50" t="s">
        <v>64</v>
      </c>
      <c r="G22" s="50" t="s">
        <v>64</v>
      </c>
      <c r="H22" s="50" t="s">
        <v>64</v>
      </c>
      <c r="I22" s="10"/>
      <c r="J22" s="50" t="s">
        <v>33</v>
      </c>
      <c r="K22" s="50" t="s">
        <v>64</v>
      </c>
      <c r="L22" s="50" t="s">
        <v>64</v>
      </c>
      <c r="M22" s="50" t="s">
        <v>64</v>
      </c>
      <c r="N22" s="51" t="s">
        <v>64</v>
      </c>
      <c r="O22" s="112">
        <f>SUM(O14:O20)</f>
        <v>6.5</v>
      </c>
      <c r="P22" s="51">
        <f>SUM(P14:P20)</f>
        <v>87612.785000000003</v>
      </c>
      <c r="Q22" s="51">
        <f>SUM(Q14:Q21)</f>
        <v>0</v>
      </c>
      <c r="R22" s="51"/>
      <c r="S22" s="50">
        <f>SUM(S14:S21)</f>
        <v>783.07499999999993</v>
      </c>
      <c r="T22" s="52">
        <f>SUM(T14:T21)</f>
        <v>783.07499999999993</v>
      </c>
      <c r="U22" s="10"/>
      <c r="V22" s="50" t="s">
        <v>33</v>
      </c>
      <c r="W22" s="52">
        <f>SUM(W14:W21)</f>
        <v>101447.11</v>
      </c>
      <c r="X22" s="50" t="s">
        <v>166</v>
      </c>
      <c r="Y22" s="52">
        <f>SUM(Y14:Y21)</f>
        <v>3637.4034999999999</v>
      </c>
      <c r="Z22" s="50" t="s">
        <v>166</v>
      </c>
      <c r="AA22" s="52">
        <f t="shared" ref="AA22:AF22" si="18">SUM(AA14:AA21)</f>
        <v>4028.2554999999998</v>
      </c>
      <c r="AB22" s="53">
        <f t="shared" si="18"/>
        <v>0</v>
      </c>
      <c r="AC22" s="87">
        <f t="shared" si="18"/>
        <v>7665.6590000000015</v>
      </c>
      <c r="AD22" s="138">
        <f t="shared" si="18"/>
        <v>109112.769</v>
      </c>
      <c r="AE22" s="138">
        <f t="shared" si="18"/>
        <v>16366.915350000003</v>
      </c>
      <c r="AF22" s="138">
        <f t="shared" si="18"/>
        <v>125479.68435</v>
      </c>
    </row>
    <row r="23" spans="1:32">
      <c r="A23" s="2"/>
      <c r="B23" s="2"/>
      <c r="C23" s="2"/>
      <c r="D23" s="2"/>
      <c r="E23" s="2"/>
      <c r="F23" s="2"/>
      <c r="G23" s="2"/>
      <c r="H23" s="2"/>
      <c r="I23" s="80"/>
      <c r="AD23" s="62"/>
      <c r="AE23" s="62"/>
      <c r="AF23" s="163"/>
    </row>
    <row r="24" spans="1:32">
      <c r="K24" s="3"/>
      <c r="L24" s="3"/>
      <c r="M24" s="3"/>
      <c r="N24" s="3"/>
      <c r="O24" s="3"/>
      <c r="P24" s="3"/>
      <c r="Q24" s="3"/>
      <c r="R24" s="3"/>
      <c r="S24" s="3"/>
      <c r="T24" s="120"/>
      <c r="AF24" s="191"/>
    </row>
    <row r="25" spans="1:32">
      <c r="B25" s="455" t="s">
        <v>404</v>
      </c>
      <c r="C25" s="456"/>
      <c r="D25" s="125"/>
      <c r="E25" s="2"/>
      <c r="F25" s="90"/>
      <c r="G25" s="457"/>
      <c r="H25" s="457"/>
      <c r="K25" s="21"/>
      <c r="L25" s="3"/>
      <c r="M25" s="3"/>
      <c r="N25" s="3"/>
      <c r="O25" s="3"/>
      <c r="P25" s="3"/>
      <c r="Q25" s="3"/>
      <c r="R25" s="3"/>
      <c r="S25" s="3"/>
      <c r="T25" s="120"/>
      <c r="AD25" s="191"/>
    </row>
    <row r="26" spans="1:32">
      <c r="K26" s="21"/>
      <c r="L26" s="3"/>
      <c r="M26" s="3"/>
      <c r="N26" s="3"/>
      <c r="O26" s="3"/>
      <c r="P26" s="3"/>
      <c r="Q26" s="3"/>
      <c r="R26" s="3"/>
      <c r="S26" s="3"/>
      <c r="T26" s="120"/>
    </row>
    <row r="27" spans="1:32">
      <c r="B27" s="3" t="s">
        <v>407</v>
      </c>
      <c r="C27" s="3"/>
      <c r="K27" s="21"/>
      <c r="L27" s="3"/>
      <c r="M27" s="3"/>
      <c r="N27" s="3"/>
      <c r="O27" s="3"/>
      <c r="P27" s="3"/>
      <c r="Q27" s="3"/>
      <c r="R27" s="3"/>
      <c r="S27" s="3"/>
      <c r="T27" s="120"/>
    </row>
    <row r="28" spans="1:32">
      <c r="K28" s="21"/>
      <c r="L28" s="3"/>
      <c r="M28" s="3"/>
      <c r="N28" s="3"/>
      <c r="O28" s="3"/>
      <c r="P28" s="3"/>
      <c r="Q28" s="3"/>
      <c r="R28" s="3"/>
      <c r="S28" s="3"/>
      <c r="T28" s="3"/>
    </row>
    <row r="29" spans="1:32"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32">
      <c r="K30" s="3"/>
      <c r="L30" s="3"/>
      <c r="M30" s="3"/>
      <c r="N30" s="3"/>
      <c r="O30" s="3"/>
      <c r="P30" s="3"/>
      <c r="Q30" s="3"/>
      <c r="R30" s="3"/>
      <c r="S30" s="3"/>
      <c r="T30" s="3"/>
    </row>
  </sheetData>
  <mergeCells count="13">
    <mergeCell ref="X8:AB8"/>
    <mergeCell ref="Q8:T8"/>
    <mergeCell ref="Q9:T9"/>
    <mergeCell ref="B4:G4"/>
    <mergeCell ref="B5:G5"/>
    <mergeCell ref="K8:M8"/>
    <mergeCell ref="D6:F6"/>
    <mergeCell ref="B25:C25"/>
    <mergeCell ref="G25:H25"/>
    <mergeCell ref="X9:Y9"/>
    <mergeCell ref="Z9:AA9"/>
    <mergeCell ref="X10:Y10"/>
    <mergeCell ref="Z10:AA1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S22"/>
  <sheetViews>
    <sheetView tabSelected="1" view="pageBreakPreview" zoomScaleSheetLayoutView="100" workbookViewId="0">
      <selection activeCell="B15" sqref="B15:E15"/>
    </sheetView>
  </sheetViews>
  <sheetFormatPr defaultRowHeight="15"/>
  <cols>
    <col min="1" max="1" width="3.42578125" customWidth="1"/>
    <col min="2" max="3" width="9.140625" hidden="1" customWidth="1"/>
    <col min="4" max="4" width="33.85546875" customWidth="1"/>
    <col min="5" max="5" width="9.140625" hidden="1" customWidth="1"/>
    <col min="6" max="6" width="9.85546875" customWidth="1"/>
    <col min="7" max="7" width="8.7109375" customWidth="1"/>
    <col min="8" max="8" width="4.5703125" customWidth="1"/>
    <col min="9" max="9" width="6.140625" customWidth="1"/>
    <col min="10" max="10" width="5.85546875" customWidth="1"/>
    <col min="11" max="12" width="5.140625" customWidth="1"/>
    <col min="13" max="13" width="6.85546875" customWidth="1"/>
    <col min="14" max="14" width="7.5703125" customWidth="1"/>
    <col min="15" max="15" width="5.85546875" customWidth="1"/>
    <col min="16" max="16" width="6.140625" customWidth="1"/>
    <col min="17" max="18" width="6.5703125" customWidth="1"/>
    <col min="19" max="19" width="8.28515625" customWidth="1"/>
  </cols>
  <sheetData>
    <row r="1" spans="1:19">
      <c r="B1" s="462" t="s">
        <v>82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</row>
    <row r="2" spans="1:19">
      <c r="B2" s="463" t="s">
        <v>83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</row>
    <row r="3" spans="1:19">
      <c r="B3" s="463" t="s">
        <v>358</v>
      </c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</row>
    <row r="4" spans="1:19">
      <c r="B4" s="35"/>
      <c r="C4" s="35"/>
      <c r="D4" s="35"/>
      <c r="E4" s="35"/>
      <c r="F4" s="3"/>
      <c r="G4" s="3"/>
      <c r="H4" s="3"/>
      <c r="I4" t="s">
        <v>428</v>
      </c>
      <c r="K4" s="104"/>
      <c r="L4" s="104"/>
      <c r="M4" s="104"/>
      <c r="N4" s="104"/>
      <c r="O4" s="104"/>
      <c r="P4" s="104"/>
      <c r="Q4" s="104"/>
      <c r="R4" s="104"/>
      <c r="S4" s="104"/>
    </row>
    <row r="5" spans="1:19">
      <c r="B5" s="102"/>
      <c r="C5" s="102"/>
      <c r="D5" s="102"/>
      <c r="E5" s="102"/>
      <c r="F5" s="3"/>
      <c r="G5" s="3"/>
      <c r="H5" s="3"/>
    </row>
    <row r="6" spans="1:19">
      <c r="A6" s="54" t="s">
        <v>12</v>
      </c>
      <c r="B6" s="91"/>
      <c r="C6" s="92"/>
      <c r="D6" s="92"/>
      <c r="E6" s="93"/>
      <c r="F6" s="106" t="s">
        <v>269</v>
      </c>
      <c r="G6" s="106" t="s">
        <v>201</v>
      </c>
      <c r="H6" s="7" t="s">
        <v>85</v>
      </c>
      <c r="I6" s="43" t="s">
        <v>86</v>
      </c>
      <c r="J6" s="467" t="s">
        <v>103</v>
      </c>
      <c r="K6" s="468"/>
      <c r="L6" s="468"/>
      <c r="M6" s="7" t="s">
        <v>60</v>
      </c>
      <c r="N6" s="43" t="s">
        <v>96</v>
      </c>
      <c r="O6" s="20" t="s">
        <v>271</v>
      </c>
      <c r="P6" s="127" t="s">
        <v>213</v>
      </c>
      <c r="Q6" s="31" t="s">
        <v>96</v>
      </c>
      <c r="R6" s="7" t="s">
        <v>45</v>
      </c>
      <c r="S6" s="39" t="s">
        <v>47</v>
      </c>
    </row>
    <row r="7" spans="1:19">
      <c r="A7" s="55" t="s">
        <v>13</v>
      </c>
      <c r="B7" s="415" t="s">
        <v>0</v>
      </c>
      <c r="C7" s="464"/>
      <c r="D7" s="464"/>
      <c r="E7" s="416"/>
      <c r="F7" s="40" t="s">
        <v>270</v>
      </c>
      <c r="G7" s="40" t="s">
        <v>9</v>
      </c>
      <c r="H7" s="8" t="s">
        <v>88</v>
      </c>
      <c r="I7" s="38" t="s">
        <v>15</v>
      </c>
      <c r="J7" s="469" t="s">
        <v>104</v>
      </c>
      <c r="K7" s="470"/>
      <c r="L7" s="470"/>
      <c r="M7" s="8" t="s">
        <v>15</v>
      </c>
      <c r="N7" s="38" t="s">
        <v>87</v>
      </c>
      <c r="O7" s="23" t="s">
        <v>272</v>
      </c>
      <c r="P7" s="128" t="s">
        <v>214</v>
      </c>
      <c r="Q7" s="32" t="s">
        <v>97</v>
      </c>
      <c r="R7" s="8" t="s">
        <v>44</v>
      </c>
      <c r="S7" s="44" t="s">
        <v>48</v>
      </c>
    </row>
    <row r="8" spans="1:19">
      <c r="A8" s="55"/>
      <c r="B8" s="415" t="s">
        <v>99</v>
      </c>
      <c r="C8" s="464"/>
      <c r="D8" s="464"/>
      <c r="E8" s="416"/>
      <c r="F8" s="8"/>
      <c r="G8" s="8" t="s">
        <v>120</v>
      </c>
      <c r="H8" s="8" t="s">
        <v>89</v>
      </c>
      <c r="I8" s="8" t="s">
        <v>90</v>
      </c>
      <c r="J8" s="41" t="s">
        <v>35</v>
      </c>
      <c r="K8" s="46" t="s">
        <v>81</v>
      </c>
      <c r="L8" s="47" t="s">
        <v>93</v>
      </c>
      <c r="M8" s="8" t="s">
        <v>210</v>
      </c>
      <c r="N8" s="38" t="s">
        <v>15</v>
      </c>
      <c r="O8" s="131" t="s">
        <v>273</v>
      </c>
      <c r="P8" s="129" t="s">
        <v>215</v>
      </c>
      <c r="Q8" s="32" t="s">
        <v>98</v>
      </c>
      <c r="R8" s="44" t="s">
        <v>78</v>
      </c>
      <c r="S8" s="44" t="s">
        <v>49</v>
      </c>
    </row>
    <row r="9" spans="1:19">
      <c r="A9" s="55"/>
      <c r="B9" s="415" t="s">
        <v>2</v>
      </c>
      <c r="C9" s="464"/>
      <c r="D9" s="464"/>
      <c r="E9" s="416"/>
      <c r="F9" s="18"/>
      <c r="G9" s="18" t="s">
        <v>202</v>
      </c>
      <c r="H9" s="8"/>
      <c r="I9" s="8"/>
      <c r="J9" s="41" t="s">
        <v>91</v>
      </c>
      <c r="K9" s="40" t="s">
        <v>35</v>
      </c>
      <c r="L9" s="47" t="s">
        <v>94</v>
      </c>
      <c r="M9" s="44" t="s">
        <v>211</v>
      </c>
      <c r="N9" s="38" t="s">
        <v>101</v>
      </c>
      <c r="O9" s="131" t="s">
        <v>274</v>
      </c>
      <c r="P9" s="129" t="s">
        <v>216</v>
      </c>
      <c r="Q9" s="32"/>
      <c r="R9" s="44" t="s">
        <v>79</v>
      </c>
      <c r="S9" s="44" t="s">
        <v>80</v>
      </c>
    </row>
    <row r="10" spans="1:19">
      <c r="A10" s="56"/>
      <c r="B10" s="101"/>
      <c r="C10" s="100"/>
      <c r="D10" s="100"/>
      <c r="E10" s="97"/>
      <c r="F10" s="19"/>
      <c r="G10" s="19" t="s">
        <v>203</v>
      </c>
      <c r="H10" s="9"/>
      <c r="I10" s="9"/>
      <c r="J10" s="48" t="s">
        <v>92</v>
      </c>
      <c r="K10" s="42"/>
      <c r="L10" s="48" t="s">
        <v>95</v>
      </c>
      <c r="M10" s="9" t="s">
        <v>212</v>
      </c>
      <c r="N10" s="33" t="s">
        <v>102</v>
      </c>
      <c r="O10" s="132" t="s">
        <v>217</v>
      </c>
      <c r="P10" s="126" t="s">
        <v>217</v>
      </c>
      <c r="Q10" s="34"/>
      <c r="R10" s="9"/>
      <c r="S10" s="45" t="s">
        <v>50</v>
      </c>
    </row>
    <row r="11" spans="1:19">
      <c r="A11" s="57">
        <v>1</v>
      </c>
      <c r="B11" s="95"/>
      <c r="C11" s="98">
        <v>2</v>
      </c>
      <c r="D11" s="98"/>
      <c r="E11" s="96"/>
      <c r="F11" s="103">
        <v>4</v>
      </c>
      <c r="G11" s="105"/>
      <c r="H11" s="57">
        <v>5</v>
      </c>
      <c r="I11" s="57">
        <v>6</v>
      </c>
      <c r="J11" s="57">
        <v>7</v>
      </c>
      <c r="K11" s="57">
        <v>8</v>
      </c>
      <c r="L11" s="58">
        <v>9</v>
      </c>
      <c r="M11" s="57">
        <v>10</v>
      </c>
      <c r="N11" s="57">
        <v>11</v>
      </c>
      <c r="O11" s="130">
        <v>12</v>
      </c>
      <c r="P11" s="57">
        <v>14</v>
      </c>
      <c r="Q11" s="57">
        <v>16</v>
      </c>
      <c r="R11" s="57">
        <v>17</v>
      </c>
      <c r="S11" s="57">
        <v>18</v>
      </c>
    </row>
    <row r="12" spans="1:19" s="253" customFormat="1" ht="14.25">
      <c r="A12" s="254">
        <v>1</v>
      </c>
      <c r="B12" s="266"/>
      <c r="C12" s="267"/>
      <c r="D12" s="267" t="s">
        <v>356</v>
      </c>
      <c r="E12" s="268"/>
      <c r="F12" s="269" t="s">
        <v>431</v>
      </c>
      <c r="G12" s="270" t="s">
        <v>123</v>
      </c>
      <c r="H12" s="254">
        <v>1</v>
      </c>
      <c r="I12" s="153">
        <v>2198</v>
      </c>
      <c r="J12" s="153">
        <v>0.25</v>
      </c>
      <c r="K12" s="153"/>
      <c r="L12" s="153"/>
      <c r="M12" s="252">
        <f>I12*(1+J12+K12+L12)</f>
        <v>2747.5</v>
      </c>
      <c r="N12" s="252">
        <f>M12*H12</f>
        <v>2747.5</v>
      </c>
      <c r="O12" s="265"/>
      <c r="P12" s="265"/>
      <c r="Q12" s="271">
        <f t="shared" ref="Q12:Q13" si="0">N12+O12+P12</f>
        <v>2747.5</v>
      </c>
      <c r="R12" s="252">
        <f t="shared" ref="R12:R13" si="1">Q12*15/100</f>
        <v>412.125</v>
      </c>
      <c r="S12" s="272">
        <f>11280*H12</f>
        <v>11280</v>
      </c>
    </row>
    <row r="13" spans="1:19" s="253" customFormat="1" ht="14.25">
      <c r="A13" s="254"/>
      <c r="B13" s="266"/>
      <c r="C13" s="267"/>
      <c r="D13" s="267" t="s">
        <v>356</v>
      </c>
      <c r="E13" s="268"/>
      <c r="F13" s="327" t="s">
        <v>432</v>
      </c>
      <c r="G13" s="270" t="s">
        <v>433</v>
      </c>
      <c r="H13" s="254">
        <v>1</v>
      </c>
      <c r="I13" s="153">
        <v>7675</v>
      </c>
      <c r="J13" s="153">
        <v>0.25</v>
      </c>
      <c r="K13" s="153"/>
      <c r="L13" s="153"/>
      <c r="M13" s="252">
        <f>I13*(1+J13+K13+L13)</f>
        <v>9593.75</v>
      </c>
      <c r="N13" s="252">
        <f>M13*H13</f>
        <v>9593.75</v>
      </c>
      <c r="O13" s="265"/>
      <c r="P13" s="265"/>
      <c r="Q13" s="271">
        <f t="shared" si="0"/>
        <v>9593.75</v>
      </c>
      <c r="R13" s="252">
        <f t="shared" si="1"/>
        <v>1439.0625</v>
      </c>
      <c r="S13" s="272">
        <f t="shared" ref="S13" si="2">11280*H13</f>
        <v>11280</v>
      </c>
    </row>
    <row r="14" spans="1:19" s="253" customFormat="1" ht="14.25">
      <c r="A14" s="254">
        <v>2</v>
      </c>
      <c r="B14" s="466" t="s">
        <v>357</v>
      </c>
      <c r="C14" s="466"/>
      <c r="D14" s="466"/>
      <c r="E14" s="466"/>
      <c r="F14" s="273" t="s">
        <v>374</v>
      </c>
      <c r="G14" s="273" t="s">
        <v>236</v>
      </c>
      <c r="H14" s="254">
        <v>1</v>
      </c>
      <c r="I14" s="153">
        <v>7675</v>
      </c>
      <c r="J14" s="153">
        <v>0.25</v>
      </c>
      <c r="K14" s="153"/>
      <c r="L14" s="153"/>
      <c r="M14" s="252">
        <f>I14*(1+J14+K14+L14)</f>
        <v>9593.75</v>
      </c>
      <c r="N14" s="252">
        <f>M14*H14</f>
        <v>9593.75</v>
      </c>
      <c r="O14" s="265"/>
      <c r="P14" s="265"/>
      <c r="Q14" s="271">
        <f t="shared" ref="Q14:Q15" si="3">N14+O14+P14</f>
        <v>9593.75</v>
      </c>
      <c r="R14" s="252">
        <f t="shared" ref="R14:R15" si="4">Q14*15/100</f>
        <v>1439.0625</v>
      </c>
      <c r="S14" s="272">
        <f t="shared" ref="S14:S15" si="5">11280*H14</f>
        <v>11280</v>
      </c>
    </row>
    <row r="15" spans="1:19" s="253" customFormat="1" ht="14.25">
      <c r="A15" s="254">
        <v>3</v>
      </c>
      <c r="B15" s="466" t="s">
        <v>460</v>
      </c>
      <c r="C15" s="466"/>
      <c r="D15" s="466"/>
      <c r="E15" s="466"/>
      <c r="F15" s="274" t="s">
        <v>235</v>
      </c>
      <c r="G15" s="270" t="s">
        <v>433</v>
      </c>
      <c r="H15" s="254">
        <v>0.5</v>
      </c>
      <c r="I15" s="153">
        <v>2198</v>
      </c>
      <c r="J15" s="153">
        <v>0.25</v>
      </c>
      <c r="K15" s="153"/>
      <c r="L15" s="153"/>
      <c r="M15" s="252">
        <f>I15*(1+J15+K15+L15)</f>
        <v>2747.5</v>
      </c>
      <c r="N15" s="252">
        <f>M15*H15</f>
        <v>1373.75</v>
      </c>
      <c r="O15" s="265"/>
      <c r="P15" s="265"/>
      <c r="Q15" s="271">
        <f t="shared" si="3"/>
        <v>1373.75</v>
      </c>
      <c r="R15" s="252">
        <f t="shared" si="4"/>
        <v>206.0625</v>
      </c>
      <c r="S15" s="272">
        <f t="shared" si="5"/>
        <v>5640</v>
      </c>
    </row>
    <row r="16" spans="1:19" s="144" customFormat="1" ht="19.5" customHeight="1">
      <c r="A16" s="248"/>
      <c r="B16" s="465" t="s">
        <v>33</v>
      </c>
      <c r="C16" s="465"/>
      <c r="D16" s="465"/>
      <c r="E16" s="465"/>
      <c r="F16" s="249"/>
      <c r="G16" s="249"/>
      <c r="H16" s="250">
        <f>SUM(H12:H15)</f>
        <v>3.5</v>
      </c>
      <c r="I16" s="249" t="s">
        <v>64</v>
      </c>
      <c r="J16" s="249" t="s">
        <v>64</v>
      </c>
      <c r="K16" s="249" t="s">
        <v>64</v>
      </c>
      <c r="L16" s="249" t="s">
        <v>64</v>
      </c>
      <c r="M16" s="249" t="s">
        <v>64</v>
      </c>
      <c r="N16" s="251">
        <f t="shared" ref="N16:S16" si="6">SUM(N12:N15)</f>
        <v>23308.75</v>
      </c>
      <c r="O16" s="249">
        <f t="shared" si="6"/>
        <v>0</v>
      </c>
      <c r="P16" s="249">
        <f t="shared" si="6"/>
        <v>0</v>
      </c>
      <c r="Q16" s="251">
        <f t="shared" si="6"/>
        <v>23308.75</v>
      </c>
      <c r="R16" s="251">
        <f t="shared" si="6"/>
        <v>3496.3125</v>
      </c>
      <c r="S16" s="251">
        <f t="shared" si="6"/>
        <v>39480</v>
      </c>
    </row>
    <row r="17" spans="1:19" ht="19.5" customHeight="1">
      <c r="A17" s="60"/>
      <c r="B17" s="99"/>
      <c r="C17" s="94"/>
      <c r="D17" s="94"/>
      <c r="E17" s="94"/>
      <c r="F17" s="61"/>
      <c r="G17" s="61"/>
      <c r="H17" s="60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</row>
    <row r="18" spans="1:19">
      <c r="B18" s="3"/>
      <c r="C18" s="3"/>
      <c r="D18" s="3"/>
      <c r="E18" s="3"/>
      <c r="F18" s="3"/>
      <c r="G18" s="3"/>
      <c r="H18" s="3"/>
    </row>
    <row r="19" spans="1:19">
      <c r="B19" s="3"/>
      <c r="C19" s="3"/>
      <c r="D19" s="3" t="s">
        <v>368</v>
      </c>
      <c r="E19" s="3"/>
      <c r="F19" s="3"/>
      <c r="G19" s="3"/>
      <c r="H19" s="3"/>
    </row>
    <row r="20" spans="1:19">
      <c r="B20" s="3"/>
      <c r="C20" s="3" t="s">
        <v>275</v>
      </c>
      <c r="D20" s="3"/>
      <c r="E20" s="3"/>
      <c r="F20" s="3"/>
      <c r="G20" s="3"/>
      <c r="H20" s="3"/>
    </row>
    <row r="21" spans="1:19">
      <c r="B21" s="3"/>
      <c r="C21" s="3"/>
      <c r="D21" s="3"/>
      <c r="E21" s="3"/>
      <c r="F21" s="3"/>
      <c r="G21" s="3"/>
      <c r="H21" s="3"/>
    </row>
    <row r="22" spans="1:19">
      <c r="Q22" t="s">
        <v>419</v>
      </c>
    </row>
  </sheetData>
  <mergeCells count="11">
    <mergeCell ref="B1:S1"/>
    <mergeCell ref="B2:S2"/>
    <mergeCell ref="B3:S3"/>
    <mergeCell ref="B9:E9"/>
    <mergeCell ref="B16:E16"/>
    <mergeCell ref="B14:E14"/>
    <mergeCell ref="B15:E15"/>
    <mergeCell ref="J6:L6"/>
    <mergeCell ref="J7:L7"/>
    <mergeCell ref="B8:E8"/>
    <mergeCell ref="B7:E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34"/>
  <sheetViews>
    <sheetView view="pageBreakPreview" zoomScaleSheetLayoutView="100" workbookViewId="0">
      <selection activeCell="A26" sqref="A26:XFD26"/>
    </sheetView>
  </sheetViews>
  <sheetFormatPr defaultRowHeight="15"/>
  <cols>
    <col min="1" max="1" width="4.7109375" customWidth="1"/>
    <col min="4" max="4" width="25.5703125" customWidth="1"/>
    <col min="5" max="5" width="18.140625" customWidth="1"/>
    <col min="6" max="6" width="11.28515625" customWidth="1"/>
    <col min="7" max="7" width="6.5703125" customWidth="1"/>
    <col min="8" max="8" width="5.7109375" customWidth="1"/>
    <col min="9" max="9" width="9" customWidth="1"/>
    <col min="10" max="10" width="7" customWidth="1"/>
    <col min="11" max="11" width="6.42578125" customWidth="1"/>
    <col min="12" max="12" width="7.28515625" customWidth="1"/>
    <col min="13" max="13" width="8.28515625" customWidth="1"/>
    <col min="14" max="14" width="4.7109375" customWidth="1"/>
    <col min="15" max="15" width="43.140625" customWidth="1"/>
    <col min="16" max="16" width="6.28515625" customWidth="1"/>
    <col min="17" max="17" width="6.85546875" customWidth="1"/>
    <col min="18" max="19" width="6" customWidth="1"/>
    <col min="20" max="20" width="6.42578125" customWidth="1"/>
    <col min="21" max="21" width="5.42578125" customWidth="1"/>
    <col min="22" max="22" width="7.140625" customWidth="1"/>
    <col min="23" max="23" width="5.85546875" customWidth="1"/>
    <col min="24" max="24" width="8" customWidth="1"/>
    <col min="25" max="25" width="6.5703125" customWidth="1"/>
    <col min="26" max="26" width="8.42578125" customWidth="1"/>
    <col min="27" max="27" width="9.5703125" bestFit="1" customWidth="1"/>
  </cols>
  <sheetData>
    <row r="1" spans="1:31">
      <c r="B1" s="449" t="s">
        <v>384</v>
      </c>
      <c r="C1" s="449"/>
      <c r="D1" s="449"/>
      <c r="E1" s="449"/>
      <c r="F1" s="449"/>
      <c r="G1" s="449"/>
      <c r="H1" s="449"/>
      <c r="I1" s="449"/>
      <c r="J1" s="63"/>
      <c r="K1" s="2"/>
      <c r="L1" s="2"/>
      <c r="M1" s="2"/>
      <c r="N1" s="2"/>
    </row>
    <row r="2" spans="1:31">
      <c r="B2" s="449" t="s">
        <v>429</v>
      </c>
      <c r="C2" s="449"/>
      <c r="D2" s="449"/>
      <c r="E2" s="449"/>
      <c r="F2" s="449"/>
      <c r="G2" s="449"/>
      <c r="H2" s="449"/>
      <c r="I2" s="449"/>
      <c r="J2" s="63"/>
      <c r="K2" s="2"/>
      <c r="L2" s="2"/>
      <c r="M2" s="2"/>
      <c r="N2" s="2"/>
      <c r="U2" t="s">
        <v>36</v>
      </c>
      <c r="W2" s="299">
        <v>1</v>
      </c>
      <c r="AD2" s="299"/>
      <c r="AE2" s="299"/>
    </row>
    <row r="3" spans="1:31">
      <c r="B3" s="298"/>
      <c r="C3" s="298"/>
      <c r="D3" s="449"/>
      <c r="E3" s="449"/>
      <c r="F3" s="449"/>
      <c r="G3" s="298"/>
      <c r="H3" s="298"/>
      <c r="I3" s="298"/>
      <c r="J3" s="63"/>
      <c r="K3" s="2"/>
      <c r="L3" s="2"/>
      <c r="M3" s="2"/>
      <c r="N3" s="2"/>
      <c r="AD3" s="299"/>
      <c r="AE3" s="299"/>
    </row>
    <row r="4" spans="1:31">
      <c r="B4" s="300"/>
      <c r="C4" s="300"/>
      <c r="D4" s="300"/>
      <c r="E4" s="3"/>
      <c r="F4" s="3"/>
      <c r="G4" s="3"/>
      <c r="T4" s="3"/>
      <c r="U4" s="3"/>
      <c r="V4" s="3"/>
      <c r="W4" s="3"/>
      <c r="X4" s="3"/>
    </row>
    <row r="5" spans="1:31" ht="15.75">
      <c r="A5" s="4"/>
      <c r="B5" s="446"/>
      <c r="C5" s="458"/>
      <c r="D5" s="458"/>
      <c r="E5" s="17" t="s">
        <v>3</v>
      </c>
      <c r="F5" s="17" t="s">
        <v>119</v>
      </c>
      <c r="G5" s="17" t="s">
        <v>106</v>
      </c>
      <c r="H5" s="17" t="s">
        <v>110</v>
      </c>
      <c r="I5" s="297" t="s">
        <v>14</v>
      </c>
      <c r="J5" s="432" t="s">
        <v>385</v>
      </c>
      <c r="K5" s="487"/>
      <c r="L5" s="17" t="s">
        <v>14</v>
      </c>
      <c r="M5" s="30" t="s">
        <v>60</v>
      </c>
      <c r="N5" s="108"/>
      <c r="O5" s="108"/>
      <c r="P5" s="484" t="s">
        <v>220</v>
      </c>
      <c r="Q5" s="485"/>
      <c r="R5" s="485"/>
      <c r="S5" s="485"/>
      <c r="T5" s="485"/>
      <c r="U5" s="486"/>
      <c r="V5" s="43" t="s">
        <v>33</v>
      </c>
      <c r="W5" s="7" t="s">
        <v>221</v>
      </c>
      <c r="X5" s="7" t="s">
        <v>96</v>
      </c>
      <c r="Y5" s="31" t="s">
        <v>45</v>
      </c>
      <c r="Z5" s="31" t="s">
        <v>33</v>
      </c>
      <c r="AA5" s="7" t="s">
        <v>47</v>
      </c>
    </row>
    <row r="6" spans="1:31" ht="15.75">
      <c r="A6" s="5" t="s">
        <v>12</v>
      </c>
      <c r="B6" s="415" t="s">
        <v>0</v>
      </c>
      <c r="C6" s="464"/>
      <c r="D6" s="464"/>
      <c r="E6" s="18" t="s">
        <v>84</v>
      </c>
      <c r="F6" s="18" t="s">
        <v>9</v>
      </c>
      <c r="G6" s="18" t="s">
        <v>107</v>
      </c>
      <c r="H6" s="25" t="s">
        <v>111</v>
      </c>
      <c r="I6" s="84" t="s">
        <v>112</v>
      </c>
      <c r="J6" s="478" t="s">
        <v>386</v>
      </c>
      <c r="K6" s="417"/>
      <c r="L6" s="25" t="s">
        <v>387</v>
      </c>
      <c r="M6" s="25" t="s">
        <v>15</v>
      </c>
      <c r="N6" s="109" t="s">
        <v>12</v>
      </c>
      <c r="O6" s="84" t="s">
        <v>0</v>
      </c>
      <c r="P6" s="479"/>
      <c r="Q6" s="480"/>
      <c r="R6" s="479"/>
      <c r="S6" s="481"/>
      <c r="T6" s="480"/>
      <c r="U6" s="481"/>
      <c r="V6" s="152" t="s">
        <v>37</v>
      </c>
      <c r="W6" s="83" t="s">
        <v>222</v>
      </c>
      <c r="X6" s="83" t="s">
        <v>113</v>
      </c>
      <c r="Y6" s="32" t="s">
        <v>44</v>
      </c>
      <c r="Z6" s="32" t="s">
        <v>223</v>
      </c>
      <c r="AA6" s="8" t="s">
        <v>48</v>
      </c>
    </row>
    <row r="7" spans="1:31">
      <c r="A7" s="5" t="s">
        <v>13</v>
      </c>
      <c r="B7" s="415" t="s">
        <v>99</v>
      </c>
      <c r="C7" s="464"/>
      <c r="D7" s="464"/>
      <c r="E7" s="8"/>
      <c r="F7" s="18" t="s">
        <v>120</v>
      </c>
      <c r="G7" s="18" t="s">
        <v>108</v>
      </c>
      <c r="H7" s="18"/>
      <c r="I7" s="18" t="s">
        <v>15</v>
      </c>
      <c r="J7" s="38"/>
      <c r="K7" s="38"/>
      <c r="L7" s="18" t="s">
        <v>388</v>
      </c>
      <c r="M7" s="25" t="s">
        <v>18</v>
      </c>
      <c r="N7" s="109" t="s">
        <v>13</v>
      </c>
      <c r="O7" s="84" t="s">
        <v>99</v>
      </c>
      <c r="P7" s="409"/>
      <c r="Q7" s="483"/>
      <c r="R7" s="409"/>
      <c r="S7" s="410"/>
      <c r="T7" s="483"/>
      <c r="U7" s="410"/>
      <c r="V7" s="152" t="s">
        <v>224</v>
      </c>
      <c r="W7" s="83" t="s">
        <v>225</v>
      </c>
      <c r="X7" s="83" t="s">
        <v>139</v>
      </c>
      <c r="Y7" s="32" t="s">
        <v>78</v>
      </c>
      <c r="Z7" s="32" t="s">
        <v>139</v>
      </c>
      <c r="AA7" s="8" t="s">
        <v>101</v>
      </c>
    </row>
    <row r="8" spans="1:31">
      <c r="A8" s="5"/>
      <c r="B8" s="415" t="s">
        <v>2</v>
      </c>
      <c r="C8" s="464"/>
      <c r="D8" s="464"/>
      <c r="E8" s="8"/>
      <c r="F8" s="25" t="s">
        <v>121</v>
      </c>
      <c r="G8" s="18" t="s">
        <v>109</v>
      </c>
      <c r="H8" s="18"/>
      <c r="I8" s="18" t="s">
        <v>16</v>
      </c>
      <c r="J8" s="8"/>
      <c r="K8" s="38"/>
      <c r="L8" s="18" t="s">
        <v>389</v>
      </c>
      <c r="M8" s="25" t="s">
        <v>219</v>
      </c>
      <c r="N8" s="109"/>
      <c r="O8" s="84" t="s">
        <v>2</v>
      </c>
      <c r="P8" s="38" t="s">
        <v>146</v>
      </c>
      <c r="Q8" s="8" t="s">
        <v>205</v>
      </c>
      <c r="R8" s="38" t="s">
        <v>146</v>
      </c>
      <c r="S8" s="8" t="s">
        <v>205</v>
      </c>
      <c r="T8" s="38" t="s">
        <v>146</v>
      </c>
      <c r="U8" s="8" t="s">
        <v>205</v>
      </c>
      <c r="V8" s="152" t="s">
        <v>390</v>
      </c>
      <c r="W8" s="83" t="s">
        <v>217</v>
      </c>
      <c r="X8" s="83" t="s">
        <v>113</v>
      </c>
      <c r="Y8" s="32" t="s">
        <v>79</v>
      </c>
      <c r="Z8" s="32" t="s">
        <v>113</v>
      </c>
      <c r="AA8" s="8" t="s">
        <v>115</v>
      </c>
    </row>
    <row r="9" spans="1:31">
      <c r="A9" s="6"/>
      <c r="B9" s="440"/>
      <c r="C9" s="482"/>
      <c r="D9" s="482"/>
      <c r="E9" s="9"/>
      <c r="F9" s="19" t="s">
        <v>122</v>
      </c>
      <c r="G9" s="19"/>
      <c r="H9" s="19"/>
      <c r="I9" s="9"/>
      <c r="J9" s="9"/>
      <c r="K9" s="33"/>
      <c r="L9" s="19" t="s">
        <v>391</v>
      </c>
      <c r="M9" s="19"/>
      <c r="N9" s="33"/>
      <c r="O9" s="295"/>
      <c r="P9" s="33" t="s">
        <v>179</v>
      </c>
      <c r="Q9" s="9"/>
      <c r="R9" s="33" t="s">
        <v>179</v>
      </c>
      <c r="S9" s="9"/>
      <c r="T9" s="33" t="s">
        <v>179</v>
      </c>
      <c r="U9" s="9"/>
      <c r="V9" s="38" t="s">
        <v>38</v>
      </c>
      <c r="W9" s="9" t="s">
        <v>226</v>
      </c>
      <c r="X9" s="9" t="s">
        <v>76</v>
      </c>
      <c r="Y9" s="32" t="s">
        <v>227</v>
      </c>
      <c r="Z9" s="32" t="s">
        <v>76</v>
      </c>
      <c r="AA9" s="9" t="s">
        <v>77</v>
      </c>
    </row>
    <row r="10" spans="1:31">
      <c r="A10" s="296">
        <v>1</v>
      </c>
      <c r="B10" s="429">
        <v>2</v>
      </c>
      <c r="C10" s="430"/>
      <c r="D10" s="430"/>
      <c r="E10" s="136">
        <v>4</v>
      </c>
      <c r="F10" s="136"/>
      <c r="G10" s="136">
        <v>5</v>
      </c>
      <c r="H10" s="136">
        <v>6</v>
      </c>
      <c r="I10" s="136">
        <v>7</v>
      </c>
      <c r="J10" s="136"/>
      <c r="K10" s="136"/>
      <c r="L10" s="136"/>
      <c r="M10" s="136">
        <v>8</v>
      </c>
      <c r="N10" s="136"/>
      <c r="O10" s="136"/>
      <c r="P10" s="136">
        <v>9</v>
      </c>
      <c r="Q10" s="136">
        <v>10</v>
      </c>
      <c r="R10" s="136"/>
      <c r="S10" s="136"/>
      <c r="T10" s="136">
        <v>11</v>
      </c>
      <c r="U10" s="136">
        <v>12</v>
      </c>
      <c r="V10" s="136"/>
      <c r="W10" s="136">
        <v>13</v>
      </c>
      <c r="X10" s="136">
        <v>14</v>
      </c>
      <c r="Y10" s="136">
        <v>15</v>
      </c>
      <c r="Z10" s="136"/>
      <c r="AA10" s="136">
        <v>16</v>
      </c>
    </row>
    <row r="11" spans="1:31" s="167" customFormat="1" ht="14.25">
      <c r="A11" s="286">
        <v>1</v>
      </c>
      <c r="B11" s="301" t="s">
        <v>351</v>
      </c>
      <c r="C11" s="302"/>
      <c r="D11" s="287"/>
      <c r="E11" s="288" t="s">
        <v>237</v>
      </c>
      <c r="F11" s="288" t="s">
        <v>123</v>
      </c>
      <c r="G11" s="140">
        <v>1</v>
      </c>
      <c r="H11" s="140">
        <v>1</v>
      </c>
      <c r="I11" s="140">
        <v>1925</v>
      </c>
      <c r="J11" s="140"/>
      <c r="K11" s="140"/>
      <c r="L11" s="142">
        <f>I11*(1+J11+K11)</f>
        <v>1925</v>
      </c>
      <c r="M11" s="141">
        <f>L11*G11</f>
        <v>1925</v>
      </c>
      <c r="N11" s="289">
        <v>1</v>
      </c>
      <c r="O11" s="287" t="s">
        <v>351</v>
      </c>
      <c r="P11" s="303"/>
      <c r="Q11" s="287"/>
      <c r="R11" s="287"/>
      <c r="S11" s="140">
        <f>M11*R11/100</f>
        <v>0</v>
      </c>
      <c r="T11" s="140"/>
      <c r="U11" s="140">
        <f>M11*T11/100</f>
        <v>0</v>
      </c>
      <c r="V11" s="140">
        <f>Q11+S11+U11</f>
        <v>0</v>
      </c>
      <c r="W11" s="141"/>
      <c r="X11" s="141">
        <f>M11+V11+W11</f>
        <v>1925</v>
      </c>
      <c r="Y11" s="141">
        <f>X11*0.15</f>
        <v>288.75</v>
      </c>
      <c r="Z11" s="141">
        <f>X11+Y11</f>
        <v>2213.75</v>
      </c>
      <c r="AA11" s="151">
        <f>11280*G11</f>
        <v>11280</v>
      </c>
    </row>
    <row r="12" spans="1:31" s="167" customFormat="1" ht="14.25">
      <c r="A12" s="290">
        <v>2</v>
      </c>
      <c r="B12" s="301" t="s">
        <v>392</v>
      </c>
      <c r="C12" s="302"/>
      <c r="D12" s="287"/>
      <c r="E12" s="287" t="s">
        <v>237</v>
      </c>
      <c r="F12" s="287" t="s">
        <v>123</v>
      </c>
      <c r="G12" s="140">
        <v>1.5</v>
      </c>
      <c r="H12" s="140">
        <v>1</v>
      </c>
      <c r="I12" s="140">
        <v>1925</v>
      </c>
      <c r="J12" s="140"/>
      <c r="K12" s="140"/>
      <c r="L12" s="140">
        <f t="shared" ref="L12:L29" si="0">I12*(1+J12+K12)</f>
        <v>1925</v>
      </c>
      <c r="M12" s="141">
        <f t="shared" ref="M12:M29" si="1">L12*G12</f>
        <v>2887.5</v>
      </c>
      <c r="N12" s="287">
        <v>2</v>
      </c>
      <c r="O12" s="287" t="s">
        <v>392</v>
      </c>
      <c r="P12" s="303"/>
      <c r="Q12" s="287"/>
      <c r="R12" s="287"/>
      <c r="S12" s="140">
        <f t="shared" ref="S12:S29" si="2">M12*R12/100</f>
        <v>0</v>
      </c>
      <c r="T12" s="140"/>
      <c r="U12" s="140">
        <f t="shared" ref="U12:U29" si="3">M12*T12/100</f>
        <v>0</v>
      </c>
      <c r="V12" s="140">
        <f t="shared" ref="V12:V31" si="4">Q12+S12+U12</f>
        <v>0</v>
      </c>
      <c r="W12" s="141"/>
      <c r="X12" s="141">
        <f t="shared" ref="X12:X29" si="5">M12+V12+W12</f>
        <v>2887.5</v>
      </c>
      <c r="Y12" s="141">
        <f t="shared" ref="Y12:Y29" si="6">X12*0.15</f>
        <v>433.125</v>
      </c>
      <c r="Z12" s="141">
        <f t="shared" ref="Z12:Z29" si="7">X12+Y12</f>
        <v>3320.625</v>
      </c>
      <c r="AA12" s="151">
        <f t="shared" ref="AA12:AA29" si="8">11280*G12</f>
        <v>16920</v>
      </c>
    </row>
    <row r="13" spans="1:31" s="167" customFormat="1" ht="14.25">
      <c r="A13" s="286">
        <v>3</v>
      </c>
      <c r="B13" s="301" t="s">
        <v>399</v>
      </c>
      <c r="C13" s="302"/>
      <c r="D13" s="287"/>
      <c r="E13" s="287" t="s">
        <v>237</v>
      </c>
      <c r="F13" s="287" t="s">
        <v>123</v>
      </c>
      <c r="G13" s="140">
        <v>1.5</v>
      </c>
      <c r="H13" s="140">
        <v>2</v>
      </c>
      <c r="I13" s="140">
        <v>2001</v>
      </c>
      <c r="J13" s="140"/>
      <c r="K13" s="140"/>
      <c r="L13" s="140">
        <f t="shared" si="0"/>
        <v>2001</v>
      </c>
      <c r="M13" s="141">
        <f t="shared" si="1"/>
        <v>3001.5</v>
      </c>
      <c r="N13" s="289">
        <v>3</v>
      </c>
      <c r="O13" s="287" t="s">
        <v>399</v>
      </c>
      <c r="P13" s="303"/>
      <c r="Q13" s="287"/>
      <c r="R13" s="287"/>
      <c r="S13" s="140">
        <f t="shared" si="2"/>
        <v>0</v>
      </c>
      <c r="T13" s="140"/>
      <c r="U13" s="140">
        <f t="shared" si="3"/>
        <v>0</v>
      </c>
      <c r="V13" s="140">
        <f t="shared" si="4"/>
        <v>0</v>
      </c>
      <c r="W13" s="141"/>
      <c r="X13" s="141">
        <f t="shared" si="5"/>
        <v>3001.5</v>
      </c>
      <c r="Y13" s="141">
        <f t="shared" si="6"/>
        <v>450.22499999999997</v>
      </c>
      <c r="Z13" s="141">
        <f t="shared" si="7"/>
        <v>3451.7249999999999</v>
      </c>
      <c r="AA13" s="151">
        <f t="shared" si="8"/>
        <v>16920</v>
      </c>
    </row>
    <row r="14" spans="1:31" s="167" customFormat="1" ht="14.25">
      <c r="A14" s="290">
        <v>4</v>
      </c>
      <c r="B14" s="301" t="s">
        <v>349</v>
      </c>
      <c r="C14" s="302"/>
      <c r="D14" s="287"/>
      <c r="E14" s="287" t="s">
        <v>237</v>
      </c>
      <c r="F14" s="287" t="s">
        <v>123</v>
      </c>
      <c r="G14" s="140">
        <v>1</v>
      </c>
      <c r="H14" s="140">
        <v>2</v>
      </c>
      <c r="I14" s="140">
        <v>2001</v>
      </c>
      <c r="J14" s="140"/>
      <c r="K14" s="140"/>
      <c r="L14" s="140">
        <f t="shared" si="0"/>
        <v>2001</v>
      </c>
      <c r="M14" s="141">
        <f t="shared" si="1"/>
        <v>2001</v>
      </c>
      <c r="N14" s="287">
        <v>4</v>
      </c>
      <c r="O14" s="287" t="s">
        <v>349</v>
      </c>
      <c r="P14" s="303"/>
      <c r="Q14" s="287"/>
      <c r="R14" s="287"/>
      <c r="S14" s="140">
        <f t="shared" si="2"/>
        <v>0</v>
      </c>
      <c r="T14" s="140"/>
      <c r="U14" s="140">
        <f t="shared" si="3"/>
        <v>0</v>
      </c>
      <c r="V14" s="140">
        <f t="shared" si="4"/>
        <v>0</v>
      </c>
      <c r="W14" s="141"/>
      <c r="X14" s="141">
        <f t="shared" si="5"/>
        <v>2001</v>
      </c>
      <c r="Y14" s="141">
        <f t="shared" si="6"/>
        <v>300.14999999999998</v>
      </c>
      <c r="Z14" s="141">
        <f t="shared" si="7"/>
        <v>2301.15</v>
      </c>
      <c r="AA14" s="151">
        <f t="shared" si="8"/>
        <v>11280</v>
      </c>
    </row>
    <row r="15" spans="1:31" s="167" customFormat="1" ht="14.25">
      <c r="A15" s="286">
        <v>5</v>
      </c>
      <c r="B15" s="301" t="s">
        <v>350</v>
      </c>
      <c r="C15" s="302"/>
      <c r="D15" s="287"/>
      <c r="E15" s="287" t="s">
        <v>237</v>
      </c>
      <c r="F15" s="287" t="s">
        <v>123</v>
      </c>
      <c r="G15" s="140">
        <v>1.5</v>
      </c>
      <c r="H15" s="140">
        <v>2</v>
      </c>
      <c r="I15" s="140">
        <v>2001</v>
      </c>
      <c r="J15" s="140"/>
      <c r="K15" s="140"/>
      <c r="L15" s="140">
        <f t="shared" si="0"/>
        <v>2001</v>
      </c>
      <c r="M15" s="141">
        <f t="shared" si="1"/>
        <v>3001.5</v>
      </c>
      <c r="N15" s="289">
        <v>5</v>
      </c>
      <c r="O15" s="287" t="s">
        <v>350</v>
      </c>
      <c r="P15" s="303"/>
      <c r="Q15" s="287"/>
      <c r="R15" s="287"/>
      <c r="S15" s="140">
        <f t="shared" si="2"/>
        <v>0</v>
      </c>
      <c r="T15" s="140"/>
      <c r="U15" s="140">
        <f t="shared" si="3"/>
        <v>0</v>
      </c>
      <c r="V15" s="140">
        <f t="shared" si="4"/>
        <v>0</v>
      </c>
      <c r="W15" s="141"/>
      <c r="X15" s="141">
        <f t="shared" si="5"/>
        <v>3001.5</v>
      </c>
      <c r="Y15" s="141">
        <f t="shared" si="6"/>
        <v>450.22499999999997</v>
      </c>
      <c r="Z15" s="141">
        <f t="shared" si="7"/>
        <v>3451.7249999999999</v>
      </c>
      <c r="AA15" s="151">
        <f t="shared" si="8"/>
        <v>16920</v>
      </c>
    </row>
    <row r="16" spans="1:31" s="167" customFormat="1" ht="14.25">
      <c r="A16" s="290">
        <v>6</v>
      </c>
      <c r="B16" s="287" t="s">
        <v>352</v>
      </c>
      <c r="C16" s="301"/>
      <c r="D16" s="287"/>
      <c r="E16" s="287" t="s">
        <v>237</v>
      </c>
      <c r="F16" s="287" t="s">
        <v>123</v>
      </c>
      <c r="G16" s="140">
        <v>0.5</v>
      </c>
      <c r="H16" s="140">
        <v>2</v>
      </c>
      <c r="I16" s="140">
        <v>2001</v>
      </c>
      <c r="J16" s="140"/>
      <c r="K16" s="140"/>
      <c r="L16" s="140">
        <f t="shared" si="0"/>
        <v>2001</v>
      </c>
      <c r="M16" s="141">
        <f t="shared" si="1"/>
        <v>1000.5</v>
      </c>
      <c r="N16" s="287">
        <v>6</v>
      </c>
      <c r="O16" s="287" t="s">
        <v>352</v>
      </c>
      <c r="P16" s="303"/>
      <c r="Q16" s="287"/>
      <c r="R16" s="287"/>
      <c r="S16" s="140">
        <f t="shared" si="2"/>
        <v>0</v>
      </c>
      <c r="T16" s="140"/>
      <c r="U16" s="140">
        <f t="shared" si="3"/>
        <v>0</v>
      </c>
      <c r="V16" s="140">
        <f t="shared" si="4"/>
        <v>0</v>
      </c>
      <c r="W16" s="141"/>
      <c r="X16" s="141">
        <f t="shared" si="5"/>
        <v>1000.5</v>
      </c>
      <c r="Y16" s="141">
        <f t="shared" si="6"/>
        <v>150.07499999999999</v>
      </c>
      <c r="Z16" s="141">
        <f t="shared" si="7"/>
        <v>1150.575</v>
      </c>
      <c r="AA16" s="151">
        <f t="shared" si="8"/>
        <v>5640</v>
      </c>
    </row>
    <row r="17" spans="1:27" s="167" customFormat="1" ht="14.25">
      <c r="A17" s="286">
        <v>7</v>
      </c>
      <c r="B17" s="474" t="s">
        <v>416</v>
      </c>
      <c r="C17" s="475"/>
      <c r="D17" s="476"/>
      <c r="E17" s="287" t="s">
        <v>237</v>
      </c>
      <c r="F17" s="140" t="s">
        <v>123</v>
      </c>
      <c r="G17" s="140">
        <v>1.5</v>
      </c>
      <c r="H17" s="140">
        <v>1</v>
      </c>
      <c r="I17" s="140">
        <v>1925</v>
      </c>
      <c r="J17" s="140"/>
      <c r="K17" s="140"/>
      <c r="L17" s="140">
        <f t="shared" si="0"/>
        <v>1925</v>
      </c>
      <c r="M17" s="141">
        <f t="shared" si="1"/>
        <v>2887.5</v>
      </c>
      <c r="N17" s="289">
        <v>7</v>
      </c>
      <c r="O17" s="291" t="s">
        <v>416</v>
      </c>
      <c r="P17" s="291"/>
      <c r="Q17" s="292"/>
      <c r="R17" s="290"/>
      <c r="S17" s="140">
        <f t="shared" si="2"/>
        <v>0</v>
      </c>
      <c r="T17" s="140"/>
      <c r="U17" s="140">
        <f t="shared" si="3"/>
        <v>0</v>
      </c>
      <c r="V17" s="140">
        <f t="shared" si="4"/>
        <v>0</v>
      </c>
      <c r="W17" s="140"/>
      <c r="X17" s="141">
        <f t="shared" si="5"/>
        <v>2887.5</v>
      </c>
      <c r="Y17" s="141">
        <f t="shared" si="6"/>
        <v>433.125</v>
      </c>
      <c r="Z17" s="141">
        <f t="shared" si="7"/>
        <v>3320.625</v>
      </c>
      <c r="AA17" s="151">
        <f t="shared" si="8"/>
        <v>16920</v>
      </c>
    </row>
    <row r="18" spans="1:27" s="167" customFormat="1" ht="14.25">
      <c r="A18" s="290">
        <v>8</v>
      </c>
      <c r="B18" s="474" t="s">
        <v>421</v>
      </c>
      <c r="C18" s="475"/>
      <c r="D18" s="476"/>
      <c r="E18" s="287" t="s">
        <v>237</v>
      </c>
      <c r="F18" s="140" t="s">
        <v>123</v>
      </c>
      <c r="G18" s="140">
        <v>1.5</v>
      </c>
      <c r="H18" s="140">
        <v>1</v>
      </c>
      <c r="I18" s="140">
        <v>1925</v>
      </c>
      <c r="J18" s="140"/>
      <c r="K18" s="140"/>
      <c r="L18" s="140">
        <f t="shared" si="0"/>
        <v>1925</v>
      </c>
      <c r="M18" s="141">
        <f t="shared" si="1"/>
        <v>2887.5</v>
      </c>
      <c r="N18" s="287">
        <v>8</v>
      </c>
      <c r="O18" s="291" t="s">
        <v>421</v>
      </c>
      <c r="P18" s="291"/>
      <c r="Q18" s="292"/>
      <c r="R18" s="290"/>
      <c r="S18" s="140">
        <f t="shared" si="2"/>
        <v>0</v>
      </c>
      <c r="T18" s="140"/>
      <c r="U18" s="140">
        <f t="shared" si="3"/>
        <v>0</v>
      </c>
      <c r="V18" s="140">
        <f t="shared" si="4"/>
        <v>0</v>
      </c>
      <c r="W18" s="140"/>
      <c r="X18" s="141">
        <f t="shared" si="5"/>
        <v>2887.5</v>
      </c>
      <c r="Y18" s="141">
        <f t="shared" si="6"/>
        <v>433.125</v>
      </c>
      <c r="Z18" s="141">
        <f t="shared" si="7"/>
        <v>3320.625</v>
      </c>
      <c r="AA18" s="151">
        <f t="shared" si="8"/>
        <v>16920</v>
      </c>
    </row>
    <row r="19" spans="1:27" s="167" customFormat="1" ht="14.25">
      <c r="A19" s="286">
        <v>9</v>
      </c>
      <c r="B19" s="471" t="s">
        <v>353</v>
      </c>
      <c r="C19" s="472"/>
      <c r="D19" s="473"/>
      <c r="E19" s="287" t="s">
        <v>237</v>
      </c>
      <c r="F19" s="140" t="s">
        <v>123</v>
      </c>
      <c r="G19" s="140">
        <v>0.5</v>
      </c>
      <c r="H19" s="140">
        <v>1</v>
      </c>
      <c r="I19" s="140">
        <v>1925</v>
      </c>
      <c r="J19" s="140"/>
      <c r="K19" s="140"/>
      <c r="L19" s="140">
        <f t="shared" si="0"/>
        <v>1925</v>
      </c>
      <c r="M19" s="141">
        <f t="shared" si="1"/>
        <v>962.5</v>
      </c>
      <c r="N19" s="289">
        <v>9</v>
      </c>
      <c r="O19" s="305" t="s">
        <v>353</v>
      </c>
      <c r="P19" s="293"/>
      <c r="Q19" s="293"/>
      <c r="R19" s="290"/>
      <c r="S19" s="140">
        <f t="shared" si="2"/>
        <v>0</v>
      </c>
      <c r="T19" s="140"/>
      <c r="U19" s="140">
        <f t="shared" si="3"/>
        <v>0</v>
      </c>
      <c r="V19" s="140">
        <f t="shared" si="4"/>
        <v>0</v>
      </c>
      <c r="W19" s="140"/>
      <c r="X19" s="141">
        <f t="shared" si="5"/>
        <v>962.5</v>
      </c>
      <c r="Y19" s="141">
        <f t="shared" si="6"/>
        <v>144.375</v>
      </c>
      <c r="Z19" s="141">
        <f t="shared" si="7"/>
        <v>1106.875</v>
      </c>
      <c r="AA19" s="151">
        <f t="shared" si="8"/>
        <v>5640</v>
      </c>
    </row>
    <row r="20" spans="1:27" s="167" customFormat="1" ht="14.25">
      <c r="A20" s="290">
        <v>10</v>
      </c>
      <c r="B20" s="287" t="s">
        <v>352</v>
      </c>
      <c r="C20" s="301"/>
      <c r="D20" s="287"/>
      <c r="E20" s="287" t="s">
        <v>420</v>
      </c>
      <c r="F20" s="287" t="s">
        <v>123</v>
      </c>
      <c r="G20" s="140">
        <v>1</v>
      </c>
      <c r="H20" s="140">
        <v>2</v>
      </c>
      <c r="I20" s="140">
        <v>2001</v>
      </c>
      <c r="J20" s="140"/>
      <c r="K20" s="140"/>
      <c r="L20" s="140">
        <f t="shared" si="0"/>
        <v>2001</v>
      </c>
      <c r="M20" s="141">
        <f t="shared" si="1"/>
        <v>2001</v>
      </c>
      <c r="N20" s="287">
        <v>10</v>
      </c>
      <c r="O20" s="287" t="s">
        <v>352</v>
      </c>
      <c r="P20" s="303"/>
      <c r="Q20" s="287"/>
      <c r="R20" s="287"/>
      <c r="S20" s="140">
        <f t="shared" si="2"/>
        <v>0</v>
      </c>
      <c r="T20" s="140"/>
      <c r="U20" s="140">
        <f t="shared" si="3"/>
        <v>0</v>
      </c>
      <c r="V20" s="140">
        <f t="shared" si="4"/>
        <v>0</v>
      </c>
      <c r="W20" s="141"/>
      <c r="X20" s="141">
        <f t="shared" si="5"/>
        <v>2001</v>
      </c>
      <c r="Y20" s="141">
        <f t="shared" si="6"/>
        <v>300.14999999999998</v>
      </c>
      <c r="Z20" s="141">
        <f t="shared" si="7"/>
        <v>2301.15</v>
      </c>
      <c r="AA20" s="151">
        <f t="shared" si="8"/>
        <v>11280</v>
      </c>
    </row>
    <row r="21" spans="1:27" s="167" customFormat="1" ht="14.25">
      <c r="A21" s="286">
        <v>11</v>
      </c>
      <c r="B21" s="471" t="s">
        <v>353</v>
      </c>
      <c r="C21" s="472"/>
      <c r="D21" s="473"/>
      <c r="E21" s="287" t="s">
        <v>240</v>
      </c>
      <c r="F21" s="287" t="s">
        <v>123</v>
      </c>
      <c r="G21" s="140">
        <v>1</v>
      </c>
      <c r="H21" s="140">
        <v>2</v>
      </c>
      <c r="I21" s="140">
        <v>2098</v>
      </c>
      <c r="J21" s="140"/>
      <c r="K21" s="140"/>
      <c r="L21" s="140">
        <f t="shared" si="0"/>
        <v>2098</v>
      </c>
      <c r="M21" s="141">
        <f t="shared" si="1"/>
        <v>2098</v>
      </c>
      <c r="N21" s="289">
        <v>11</v>
      </c>
      <c r="O21" s="287" t="s">
        <v>353</v>
      </c>
      <c r="P21" s="303"/>
      <c r="Q21" s="287"/>
      <c r="R21" s="287"/>
      <c r="S21" s="140">
        <f t="shared" si="2"/>
        <v>0</v>
      </c>
      <c r="T21" s="140"/>
      <c r="U21" s="140">
        <f t="shared" si="3"/>
        <v>0</v>
      </c>
      <c r="V21" s="140">
        <f t="shared" si="4"/>
        <v>0</v>
      </c>
      <c r="W21" s="141"/>
      <c r="X21" s="141">
        <f t="shared" si="5"/>
        <v>2098</v>
      </c>
      <c r="Y21" s="141">
        <f t="shared" si="6"/>
        <v>314.7</v>
      </c>
      <c r="Z21" s="141">
        <f t="shared" si="7"/>
        <v>2412.6999999999998</v>
      </c>
      <c r="AA21" s="151">
        <f t="shared" si="8"/>
        <v>11280</v>
      </c>
    </row>
    <row r="22" spans="1:27" s="167" customFormat="1" ht="14.25">
      <c r="A22" s="290">
        <v>12</v>
      </c>
      <c r="B22" s="301" t="s">
        <v>349</v>
      </c>
      <c r="C22" s="302"/>
      <c r="D22" s="287"/>
      <c r="E22" s="287" t="s">
        <v>402</v>
      </c>
      <c r="F22" s="287" t="s">
        <v>123</v>
      </c>
      <c r="G22" s="140">
        <v>1</v>
      </c>
      <c r="H22" s="140">
        <v>1</v>
      </c>
      <c r="I22" s="140">
        <v>1925</v>
      </c>
      <c r="J22" s="140"/>
      <c r="K22" s="140"/>
      <c r="L22" s="140">
        <f t="shared" si="0"/>
        <v>1925</v>
      </c>
      <c r="M22" s="141">
        <f t="shared" si="1"/>
        <v>1925</v>
      </c>
      <c r="N22" s="287">
        <v>12</v>
      </c>
      <c r="O22" s="287" t="s">
        <v>349</v>
      </c>
      <c r="P22" s="303"/>
      <c r="Q22" s="287"/>
      <c r="R22" s="287"/>
      <c r="S22" s="140">
        <f t="shared" si="2"/>
        <v>0</v>
      </c>
      <c r="T22" s="140"/>
      <c r="U22" s="140">
        <f t="shared" si="3"/>
        <v>0</v>
      </c>
      <c r="V22" s="140">
        <f t="shared" si="4"/>
        <v>0</v>
      </c>
      <c r="W22" s="141"/>
      <c r="X22" s="141">
        <f t="shared" si="5"/>
        <v>1925</v>
      </c>
      <c r="Y22" s="141">
        <f t="shared" si="6"/>
        <v>288.75</v>
      </c>
      <c r="Z22" s="141">
        <f t="shared" si="7"/>
        <v>2213.75</v>
      </c>
      <c r="AA22" s="151">
        <f t="shared" si="8"/>
        <v>11280</v>
      </c>
    </row>
    <row r="23" spans="1:27" s="167" customFormat="1" ht="14.25">
      <c r="A23" s="286">
        <v>13</v>
      </c>
      <c r="B23" s="471" t="s">
        <v>417</v>
      </c>
      <c r="C23" s="472"/>
      <c r="D23" s="473"/>
      <c r="E23" s="287" t="s">
        <v>394</v>
      </c>
      <c r="F23" s="287" t="s">
        <v>123</v>
      </c>
      <c r="G23" s="140">
        <v>1</v>
      </c>
      <c r="H23" s="140">
        <v>2</v>
      </c>
      <c r="I23" s="140">
        <v>2098</v>
      </c>
      <c r="J23" s="140"/>
      <c r="K23" s="140"/>
      <c r="L23" s="140">
        <f t="shared" si="0"/>
        <v>2098</v>
      </c>
      <c r="M23" s="141">
        <f t="shared" si="1"/>
        <v>2098</v>
      </c>
      <c r="N23" s="289">
        <v>13</v>
      </c>
      <c r="O23" s="293" t="s">
        <v>417</v>
      </c>
      <c r="P23" s="293"/>
      <c r="Q23" s="293"/>
      <c r="R23" s="287"/>
      <c r="S23" s="140">
        <f t="shared" si="2"/>
        <v>0</v>
      </c>
      <c r="T23" s="140"/>
      <c r="U23" s="140">
        <f t="shared" si="3"/>
        <v>0</v>
      </c>
      <c r="V23" s="140">
        <f t="shared" si="4"/>
        <v>0</v>
      </c>
      <c r="W23" s="141"/>
      <c r="X23" s="141">
        <f t="shared" si="5"/>
        <v>2098</v>
      </c>
      <c r="Y23" s="141">
        <f t="shared" si="6"/>
        <v>314.7</v>
      </c>
      <c r="Z23" s="141">
        <f t="shared" si="7"/>
        <v>2412.6999999999998</v>
      </c>
      <c r="AA23" s="151">
        <f t="shared" si="8"/>
        <v>11280</v>
      </c>
    </row>
    <row r="24" spans="1:27" s="167" customFormat="1" ht="14.25">
      <c r="A24" s="290">
        <v>14</v>
      </c>
      <c r="B24" s="301" t="s">
        <v>354</v>
      </c>
      <c r="C24" s="302"/>
      <c r="D24" s="287"/>
      <c r="E24" s="287" t="s">
        <v>355</v>
      </c>
      <c r="F24" s="287" t="s">
        <v>123</v>
      </c>
      <c r="G24" s="140">
        <v>1</v>
      </c>
      <c r="H24" s="140">
        <v>3</v>
      </c>
      <c r="I24" s="140">
        <v>2098</v>
      </c>
      <c r="J24" s="140"/>
      <c r="K24" s="140"/>
      <c r="L24" s="140">
        <f t="shared" si="0"/>
        <v>2098</v>
      </c>
      <c r="M24" s="141">
        <f t="shared" si="1"/>
        <v>2098</v>
      </c>
      <c r="N24" s="287">
        <v>14</v>
      </c>
      <c r="O24" s="287" t="s">
        <v>354</v>
      </c>
      <c r="P24" s="303"/>
      <c r="Q24" s="287"/>
      <c r="R24" s="287"/>
      <c r="S24" s="140">
        <f t="shared" si="2"/>
        <v>0</v>
      </c>
      <c r="T24" s="140"/>
      <c r="U24" s="140">
        <f t="shared" si="3"/>
        <v>0</v>
      </c>
      <c r="V24" s="140">
        <f t="shared" si="4"/>
        <v>0</v>
      </c>
      <c r="W24" s="141"/>
      <c r="X24" s="141">
        <f t="shared" si="5"/>
        <v>2098</v>
      </c>
      <c r="Y24" s="141">
        <f t="shared" si="6"/>
        <v>314.7</v>
      </c>
      <c r="Z24" s="141">
        <f t="shared" si="7"/>
        <v>2412.6999999999998</v>
      </c>
      <c r="AA24" s="151">
        <f t="shared" si="8"/>
        <v>11280</v>
      </c>
    </row>
    <row r="25" spans="1:27" s="167" customFormat="1" ht="14.25">
      <c r="A25" s="286">
        <v>15</v>
      </c>
      <c r="B25" s="471" t="s">
        <v>430</v>
      </c>
      <c r="C25" s="472"/>
      <c r="D25" s="473"/>
      <c r="E25" s="287" t="s">
        <v>239</v>
      </c>
      <c r="F25" s="287" t="s">
        <v>123</v>
      </c>
      <c r="G25" s="140">
        <v>1.5</v>
      </c>
      <c r="H25" s="140">
        <v>2</v>
      </c>
      <c r="I25" s="140">
        <v>2002</v>
      </c>
      <c r="J25" s="140"/>
      <c r="K25" s="140"/>
      <c r="L25" s="140">
        <f t="shared" si="0"/>
        <v>2002</v>
      </c>
      <c r="M25" s="141">
        <f t="shared" si="1"/>
        <v>3003</v>
      </c>
      <c r="N25" s="289">
        <v>15</v>
      </c>
      <c r="O25" s="471" t="s">
        <v>430</v>
      </c>
      <c r="P25" s="472"/>
      <c r="Q25" s="473"/>
      <c r="R25" s="287"/>
      <c r="S25" s="140">
        <f t="shared" si="2"/>
        <v>0</v>
      </c>
      <c r="T25" s="140"/>
      <c r="U25" s="140">
        <f t="shared" si="3"/>
        <v>0</v>
      </c>
      <c r="V25" s="140">
        <f t="shared" si="4"/>
        <v>0</v>
      </c>
      <c r="W25" s="141"/>
      <c r="X25" s="141">
        <f t="shared" si="5"/>
        <v>3003</v>
      </c>
      <c r="Y25" s="141">
        <f t="shared" si="6"/>
        <v>450.45</v>
      </c>
      <c r="Z25" s="141">
        <f t="shared" si="7"/>
        <v>3453.45</v>
      </c>
      <c r="AA25" s="151">
        <f t="shared" si="8"/>
        <v>16920</v>
      </c>
    </row>
    <row r="26" spans="1:27" s="167" customFormat="1" ht="14.25">
      <c r="A26" s="290">
        <v>16</v>
      </c>
      <c r="B26" s="471" t="s">
        <v>409</v>
      </c>
      <c r="C26" s="472"/>
      <c r="D26" s="473"/>
      <c r="E26" s="287" t="s">
        <v>238</v>
      </c>
      <c r="F26" s="287" t="s">
        <v>123</v>
      </c>
      <c r="G26" s="140">
        <v>3.5</v>
      </c>
      <c r="H26" s="140">
        <v>1</v>
      </c>
      <c r="I26" s="140">
        <v>1925</v>
      </c>
      <c r="J26" s="140"/>
      <c r="K26" s="140"/>
      <c r="L26" s="140">
        <f t="shared" si="0"/>
        <v>1925</v>
      </c>
      <c r="M26" s="141">
        <f t="shared" si="1"/>
        <v>6737.5</v>
      </c>
      <c r="N26" s="287">
        <v>16</v>
      </c>
      <c r="O26" s="287" t="s">
        <v>409</v>
      </c>
      <c r="P26" s="303"/>
      <c r="Q26" s="287"/>
      <c r="R26" s="287"/>
      <c r="S26" s="140">
        <f t="shared" si="2"/>
        <v>0</v>
      </c>
      <c r="T26" s="140"/>
      <c r="U26" s="140">
        <f t="shared" si="3"/>
        <v>0</v>
      </c>
      <c r="V26" s="140">
        <f t="shared" si="4"/>
        <v>0</v>
      </c>
      <c r="W26" s="141"/>
      <c r="X26" s="141">
        <f t="shared" si="5"/>
        <v>6737.5</v>
      </c>
      <c r="Y26" s="141">
        <f t="shared" si="6"/>
        <v>1010.625</v>
      </c>
      <c r="Z26" s="141">
        <f t="shared" si="7"/>
        <v>7748.125</v>
      </c>
      <c r="AA26" s="151">
        <f t="shared" si="8"/>
        <v>39480</v>
      </c>
    </row>
    <row r="27" spans="1:27" s="167" customFormat="1" ht="14.25">
      <c r="A27" s="286">
        <v>17</v>
      </c>
      <c r="B27" s="474" t="s">
        <v>395</v>
      </c>
      <c r="C27" s="475"/>
      <c r="D27" s="476"/>
      <c r="E27" s="140" t="s">
        <v>396</v>
      </c>
      <c r="F27" s="140" t="s">
        <v>123</v>
      </c>
      <c r="G27" s="140">
        <v>1</v>
      </c>
      <c r="H27" s="140">
        <v>1</v>
      </c>
      <c r="I27" s="140">
        <v>1925</v>
      </c>
      <c r="J27" s="140"/>
      <c r="K27" s="140"/>
      <c r="L27" s="140">
        <f t="shared" si="0"/>
        <v>1925</v>
      </c>
      <c r="M27" s="141">
        <f t="shared" si="1"/>
        <v>1925</v>
      </c>
      <c r="N27" s="289">
        <v>17</v>
      </c>
      <c r="O27" s="287" t="s">
        <v>395</v>
      </c>
      <c r="P27" s="294"/>
      <c r="Q27" s="290"/>
      <c r="R27" s="290"/>
      <c r="S27" s="140">
        <f t="shared" si="2"/>
        <v>0</v>
      </c>
      <c r="T27" s="140"/>
      <c r="U27" s="140">
        <f t="shared" si="3"/>
        <v>0</v>
      </c>
      <c r="V27" s="140">
        <f t="shared" si="4"/>
        <v>0</v>
      </c>
      <c r="W27" s="140"/>
      <c r="X27" s="141">
        <f t="shared" si="5"/>
        <v>1925</v>
      </c>
      <c r="Y27" s="141">
        <f t="shared" si="6"/>
        <v>288.75</v>
      </c>
      <c r="Z27" s="141">
        <f t="shared" si="7"/>
        <v>2213.75</v>
      </c>
      <c r="AA27" s="151">
        <f t="shared" si="8"/>
        <v>11280</v>
      </c>
    </row>
    <row r="28" spans="1:27" s="167" customFormat="1" ht="14.25">
      <c r="A28" s="290">
        <v>18</v>
      </c>
      <c r="B28" s="474" t="s">
        <v>336</v>
      </c>
      <c r="C28" s="475"/>
      <c r="D28" s="476"/>
      <c r="E28" s="287" t="s">
        <v>393</v>
      </c>
      <c r="F28" s="140" t="s">
        <v>123</v>
      </c>
      <c r="G28" s="140">
        <v>1.5</v>
      </c>
      <c r="H28" s="140">
        <v>1</v>
      </c>
      <c r="I28" s="140">
        <v>1925</v>
      </c>
      <c r="J28" s="140"/>
      <c r="K28" s="140"/>
      <c r="L28" s="140">
        <f t="shared" si="0"/>
        <v>1925</v>
      </c>
      <c r="M28" s="141">
        <f t="shared" si="1"/>
        <v>2887.5</v>
      </c>
      <c r="N28" s="287">
        <v>18</v>
      </c>
      <c r="O28" s="291" t="s">
        <v>336</v>
      </c>
      <c r="P28" s="291"/>
      <c r="Q28" s="292"/>
      <c r="R28" s="290"/>
      <c r="S28" s="140">
        <f t="shared" si="2"/>
        <v>0</v>
      </c>
      <c r="T28" s="140"/>
      <c r="U28" s="140">
        <f t="shared" si="3"/>
        <v>0</v>
      </c>
      <c r="V28" s="140">
        <f t="shared" si="4"/>
        <v>0</v>
      </c>
      <c r="W28" s="140"/>
      <c r="X28" s="141">
        <f t="shared" si="5"/>
        <v>2887.5</v>
      </c>
      <c r="Y28" s="141">
        <f t="shared" si="6"/>
        <v>433.125</v>
      </c>
      <c r="Z28" s="141">
        <f t="shared" si="7"/>
        <v>3320.625</v>
      </c>
      <c r="AA28" s="151">
        <f t="shared" si="8"/>
        <v>16920</v>
      </c>
    </row>
    <row r="29" spans="1:27" s="253" customFormat="1" ht="14.25">
      <c r="A29" s="290">
        <v>19</v>
      </c>
      <c r="B29" s="474" t="s">
        <v>424</v>
      </c>
      <c r="C29" s="475"/>
      <c r="D29" s="476"/>
      <c r="E29" s="287" t="s">
        <v>239</v>
      </c>
      <c r="F29" s="140" t="s">
        <v>123</v>
      </c>
      <c r="G29" s="140">
        <v>1</v>
      </c>
      <c r="H29" s="140">
        <v>1</v>
      </c>
      <c r="I29" s="140">
        <v>1925</v>
      </c>
      <c r="J29" s="140"/>
      <c r="K29" s="140"/>
      <c r="L29" s="140">
        <f t="shared" si="0"/>
        <v>1925</v>
      </c>
      <c r="M29" s="141">
        <f t="shared" si="1"/>
        <v>1925</v>
      </c>
      <c r="N29" s="287">
        <v>19</v>
      </c>
      <c r="O29" s="306" t="s">
        <v>424</v>
      </c>
      <c r="P29" s="291"/>
      <c r="Q29" s="291"/>
      <c r="R29" s="290"/>
      <c r="S29" s="140">
        <f t="shared" si="2"/>
        <v>0</v>
      </c>
      <c r="T29" s="140"/>
      <c r="U29" s="140">
        <f t="shared" si="3"/>
        <v>0</v>
      </c>
      <c r="V29" s="140">
        <f t="shared" si="4"/>
        <v>0</v>
      </c>
      <c r="W29" s="140"/>
      <c r="X29" s="141">
        <f t="shared" si="5"/>
        <v>1925</v>
      </c>
      <c r="Y29" s="141">
        <f t="shared" si="6"/>
        <v>288.75</v>
      </c>
      <c r="Z29" s="141">
        <f t="shared" si="7"/>
        <v>2213.75</v>
      </c>
      <c r="AA29" s="151">
        <f t="shared" si="8"/>
        <v>11280</v>
      </c>
    </row>
    <row r="30" spans="1:27" s="253" customFormat="1" ht="14.25">
      <c r="A30" s="290">
        <v>20</v>
      </c>
      <c r="B30" s="328" t="s">
        <v>458</v>
      </c>
      <c r="C30" s="329"/>
      <c r="D30" s="330"/>
      <c r="E30" s="287" t="s">
        <v>239</v>
      </c>
      <c r="F30" s="140" t="s">
        <v>123</v>
      </c>
      <c r="G30" s="140">
        <v>1</v>
      </c>
      <c r="H30" s="140">
        <v>1</v>
      </c>
      <c r="I30" s="140">
        <v>1925</v>
      </c>
      <c r="J30" s="140"/>
      <c r="K30" s="140"/>
      <c r="L30" s="140">
        <f t="shared" ref="L30" si="9">I30*(1+J30+K30)</f>
        <v>1925</v>
      </c>
      <c r="M30" s="141">
        <f t="shared" ref="M30" si="10">L30*G30</f>
        <v>1925</v>
      </c>
      <c r="N30" s="287">
        <v>20</v>
      </c>
      <c r="O30" s="342" t="s">
        <v>458</v>
      </c>
      <c r="P30" s="291"/>
      <c r="Q30" s="291"/>
      <c r="R30" s="290"/>
      <c r="S30" s="140">
        <f t="shared" ref="S30" si="11">M30*R30/100</f>
        <v>0</v>
      </c>
      <c r="T30" s="140"/>
      <c r="U30" s="140">
        <f t="shared" ref="U30" si="12">M30*T30/100</f>
        <v>0</v>
      </c>
      <c r="V30" s="140">
        <f t="shared" ref="V30" si="13">Q30+S30+U30</f>
        <v>0</v>
      </c>
      <c r="W30" s="140"/>
      <c r="X30" s="141">
        <f t="shared" ref="X30" si="14">M30+V30+W30</f>
        <v>1925</v>
      </c>
      <c r="Y30" s="141">
        <f t="shared" ref="Y30" si="15">X30*0.15</f>
        <v>288.75</v>
      </c>
      <c r="Z30" s="141">
        <f t="shared" ref="Z30" si="16">X30+Y30</f>
        <v>2213.75</v>
      </c>
      <c r="AA30" s="151">
        <f t="shared" ref="AA30" si="17">11280*G30</f>
        <v>11280</v>
      </c>
    </row>
    <row r="31" spans="1:27" s="143" customFormat="1" ht="20.25" customHeight="1">
      <c r="A31" s="149"/>
      <c r="B31" s="477" t="s">
        <v>33</v>
      </c>
      <c r="C31" s="477"/>
      <c r="D31" s="477"/>
      <c r="E31" s="304" t="s">
        <v>166</v>
      </c>
      <c r="F31" s="304" t="s">
        <v>166</v>
      </c>
      <c r="G31" s="304">
        <f>SUM(G11:G29)</f>
        <v>24</v>
      </c>
      <c r="H31" s="154" t="s">
        <v>166</v>
      </c>
      <c r="I31" s="154" t="s">
        <v>166</v>
      </c>
      <c r="J31" s="154" t="s">
        <v>166</v>
      </c>
      <c r="K31" s="154" t="s">
        <v>166</v>
      </c>
      <c r="L31" s="154" t="s">
        <v>166</v>
      </c>
      <c r="M31" s="156">
        <f>SUM(M11:M28)</f>
        <v>45327.5</v>
      </c>
      <c r="N31" s="110"/>
      <c r="O31" s="110" t="s">
        <v>63</v>
      </c>
      <c r="P31" s="304" t="s">
        <v>166</v>
      </c>
      <c r="Q31" s="304">
        <f>SUM(Q11:Q26)</f>
        <v>0</v>
      </c>
      <c r="R31" s="304" t="s">
        <v>166</v>
      </c>
      <c r="S31" s="304">
        <f>SUM(S11:S26)</f>
        <v>0</v>
      </c>
      <c r="T31" s="304" t="s">
        <v>166</v>
      </c>
      <c r="U31" s="304">
        <f>SUM(U11:U26)</f>
        <v>0</v>
      </c>
      <c r="V31" s="155">
        <f t="shared" si="4"/>
        <v>0</v>
      </c>
      <c r="W31" s="304">
        <f>SUM(W11:W26)</f>
        <v>0</v>
      </c>
      <c r="X31" s="52">
        <f>SUM(X11:X29)</f>
        <v>47252.5</v>
      </c>
      <c r="Y31" s="52">
        <f>SUM(Y11:Y29)</f>
        <v>7087.8749999999991</v>
      </c>
      <c r="Z31" s="52">
        <f>SUM(Z11:Z29)</f>
        <v>54340.375</v>
      </c>
      <c r="AA31" s="156">
        <f>SUM(AA11:AA29)</f>
        <v>270720</v>
      </c>
    </row>
    <row r="32" spans="1:27">
      <c r="A32" s="3"/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111"/>
      <c r="N32" s="111"/>
      <c r="O32" s="107"/>
      <c r="P32" s="300"/>
      <c r="Q32" s="300"/>
      <c r="R32" s="300"/>
      <c r="S32" s="300"/>
      <c r="T32" s="300"/>
      <c r="U32" s="300"/>
      <c r="V32" s="300"/>
      <c r="W32" s="300"/>
      <c r="X32" s="111"/>
      <c r="Y32" s="111"/>
      <c r="Z32" s="111"/>
      <c r="AA32" s="111">
        <f>AA31-AA29-AA27-AA26+увсп!S16</f>
        <v>248160</v>
      </c>
    </row>
    <row r="34" spans="2:10">
      <c r="B34" s="49" t="s">
        <v>65</v>
      </c>
      <c r="C34" s="49"/>
      <c r="D34" s="462" t="s">
        <v>397</v>
      </c>
      <c r="E34" s="462"/>
      <c r="F34" s="49"/>
      <c r="G34" s="455" t="s">
        <v>398</v>
      </c>
      <c r="H34" s="455"/>
      <c r="I34" s="455"/>
      <c r="J34" s="455"/>
    </row>
  </sheetData>
  <mergeCells count="32">
    <mergeCell ref="P5:U5"/>
    <mergeCell ref="B1:I1"/>
    <mergeCell ref="B2:I2"/>
    <mergeCell ref="D3:F3"/>
    <mergeCell ref="B5:D5"/>
    <mergeCell ref="J5:K5"/>
    <mergeCell ref="T6:U6"/>
    <mergeCell ref="B7:D7"/>
    <mergeCell ref="P7:Q7"/>
    <mergeCell ref="R7:S7"/>
    <mergeCell ref="T7:U7"/>
    <mergeCell ref="B19:D19"/>
    <mergeCell ref="B6:D6"/>
    <mergeCell ref="J6:K6"/>
    <mergeCell ref="P6:Q6"/>
    <mergeCell ref="R6:S6"/>
    <mergeCell ref="B8:D8"/>
    <mergeCell ref="B9:D9"/>
    <mergeCell ref="B10:D10"/>
    <mergeCell ref="B17:D17"/>
    <mergeCell ref="B18:D18"/>
    <mergeCell ref="O25:Q25"/>
    <mergeCell ref="G34:J34"/>
    <mergeCell ref="B21:D21"/>
    <mergeCell ref="B23:D23"/>
    <mergeCell ref="B25:D25"/>
    <mergeCell ref="B26:D26"/>
    <mergeCell ref="B27:D27"/>
    <mergeCell ref="B28:D28"/>
    <mergeCell ref="B29:D29"/>
    <mergeCell ref="B31:D31"/>
    <mergeCell ref="D34:E3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2:N22"/>
  <sheetViews>
    <sheetView view="pageBreakPreview" zoomScaleSheetLayoutView="100" workbookViewId="0">
      <selection activeCell="B5" sqref="B5"/>
    </sheetView>
  </sheetViews>
  <sheetFormatPr defaultRowHeight="15"/>
  <cols>
    <col min="1" max="1" width="4.7109375" customWidth="1"/>
    <col min="2" max="2" width="34.140625" customWidth="1"/>
    <col min="3" max="3" width="11.5703125" customWidth="1"/>
    <col min="4" max="4" width="6" customWidth="1"/>
    <col min="5" max="5" width="7.85546875" customWidth="1"/>
    <col min="6" max="6" width="7.5703125" customWidth="1"/>
    <col min="7" max="7" width="6.85546875" customWidth="1"/>
    <col min="8" max="8" width="6.5703125" customWidth="1"/>
    <col min="9" max="9" width="7.28515625" customWidth="1"/>
    <col min="10" max="10" width="6.85546875" customWidth="1"/>
    <col min="11" max="11" width="8" customWidth="1"/>
    <col min="12" max="12" width="7.28515625" customWidth="1"/>
    <col min="13" max="13" width="7.85546875" customWidth="1"/>
  </cols>
  <sheetData>
    <row r="2" spans="1:13">
      <c r="A2" s="49"/>
      <c r="B2" s="49"/>
      <c r="C2" s="65" t="s">
        <v>218</v>
      </c>
      <c r="D2" s="65"/>
      <c r="E2" s="65"/>
      <c r="F2" s="65"/>
      <c r="G2" s="143"/>
      <c r="K2" s="49"/>
      <c r="L2" s="49"/>
      <c r="M2" s="49"/>
    </row>
    <row r="3" spans="1:13">
      <c r="A3" s="104"/>
      <c r="B3" s="104"/>
      <c r="K3" s="49"/>
      <c r="L3" s="49"/>
      <c r="M3" s="49"/>
    </row>
    <row r="4" spans="1:13" s="143" customFormat="1">
      <c r="A4" s="65"/>
      <c r="B4" s="449" t="s">
        <v>459</v>
      </c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65"/>
    </row>
    <row r="5" spans="1:13">
      <c r="J5" s="134"/>
      <c r="K5" s="134"/>
      <c r="L5" s="134"/>
      <c r="M5" s="134"/>
    </row>
    <row r="6" spans="1:13">
      <c r="A6" s="17"/>
      <c r="B6" s="17"/>
      <c r="C6" s="17"/>
      <c r="D6" s="137" t="s">
        <v>85</v>
      </c>
      <c r="E6" s="17" t="s">
        <v>60</v>
      </c>
      <c r="F6" s="17" t="s">
        <v>60</v>
      </c>
      <c r="G6" s="487" t="s">
        <v>100</v>
      </c>
      <c r="H6" s="433"/>
      <c r="I6" s="432" t="s">
        <v>116</v>
      </c>
      <c r="J6" s="433"/>
      <c r="K6" s="17" t="s">
        <v>96</v>
      </c>
      <c r="L6" s="17" t="s">
        <v>45</v>
      </c>
      <c r="M6" s="17" t="s">
        <v>47</v>
      </c>
    </row>
    <row r="7" spans="1:13">
      <c r="A7" s="18" t="s">
        <v>12</v>
      </c>
      <c r="B7" s="18" t="s">
        <v>0</v>
      </c>
      <c r="C7" s="25" t="s">
        <v>105</v>
      </c>
      <c r="D7" s="135" t="s">
        <v>107</v>
      </c>
      <c r="E7" s="18" t="s">
        <v>15</v>
      </c>
      <c r="F7" s="18" t="s">
        <v>15</v>
      </c>
      <c r="G7" s="483" t="s">
        <v>37</v>
      </c>
      <c r="H7" s="410"/>
      <c r="I7" s="409" t="s">
        <v>38</v>
      </c>
      <c r="J7" s="410"/>
      <c r="K7" s="18" t="s">
        <v>113</v>
      </c>
      <c r="L7" s="18" t="s">
        <v>44</v>
      </c>
      <c r="M7" s="18" t="s">
        <v>48</v>
      </c>
    </row>
    <row r="8" spans="1:13">
      <c r="A8" s="18" t="s">
        <v>13</v>
      </c>
      <c r="B8" s="18" t="s">
        <v>99</v>
      </c>
      <c r="C8" s="18"/>
      <c r="D8" s="135" t="s">
        <v>108</v>
      </c>
      <c r="E8" s="18" t="s">
        <v>16</v>
      </c>
      <c r="F8" s="18" t="s">
        <v>101</v>
      </c>
      <c r="G8" s="135"/>
      <c r="H8" s="17"/>
      <c r="I8" s="17" t="s">
        <v>375</v>
      </c>
      <c r="J8" s="135"/>
      <c r="K8" s="18" t="s">
        <v>74</v>
      </c>
      <c r="L8" s="18" t="s">
        <v>78</v>
      </c>
      <c r="M8" s="18" t="s">
        <v>117</v>
      </c>
    </row>
    <row r="9" spans="1:13">
      <c r="A9" s="18"/>
      <c r="B9" s="18" t="s">
        <v>2</v>
      </c>
      <c r="C9" s="18"/>
      <c r="D9" s="29" t="s">
        <v>109</v>
      </c>
      <c r="E9" s="18"/>
      <c r="F9" s="18" t="s">
        <v>102</v>
      </c>
      <c r="G9" s="135"/>
      <c r="H9" s="18"/>
      <c r="I9" s="18" t="s">
        <v>376</v>
      </c>
      <c r="J9" s="135"/>
      <c r="K9" s="18" t="s">
        <v>75</v>
      </c>
      <c r="L9" s="18" t="s">
        <v>118</v>
      </c>
      <c r="M9" s="18" t="s">
        <v>27</v>
      </c>
    </row>
    <row r="10" spans="1:13">
      <c r="A10" s="18"/>
      <c r="B10" s="18"/>
      <c r="C10" s="18"/>
      <c r="D10" s="135"/>
      <c r="E10" s="18"/>
      <c r="F10" s="18"/>
      <c r="G10" s="135"/>
      <c r="H10" s="18"/>
      <c r="I10" s="18"/>
      <c r="J10" s="135"/>
      <c r="K10" s="18" t="s">
        <v>76</v>
      </c>
      <c r="L10" s="18"/>
      <c r="M10" s="18" t="s">
        <v>50</v>
      </c>
    </row>
    <row r="11" spans="1:13">
      <c r="A11" s="105">
        <v>1</v>
      </c>
      <c r="B11" s="105">
        <v>2</v>
      </c>
      <c r="C11" s="105">
        <v>4</v>
      </c>
      <c r="D11" s="133">
        <v>5</v>
      </c>
      <c r="E11" s="105">
        <v>6</v>
      </c>
      <c r="F11" s="105">
        <v>7</v>
      </c>
      <c r="G11" s="133">
        <v>8</v>
      </c>
      <c r="H11" s="105">
        <v>9</v>
      </c>
      <c r="I11" s="105">
        <v>10</v>
      </c>
      <c r="J11" s="133">
        <v>11</v>
      </c>
      <c r="K11" s="105">
        <v>12</v>
      </c>
      <c r="L11" s="105">
        <v>13</v>
      </c>
      <c r="M11" s="105">
        <v>14</v>
      </c>
    </row>
    <row r="12" spans="1:13" s="139" customFormat="1" ht="14.25">
      <c r="A12" s="140">
        <v>1</v>
      </c>
      <c r="B12" s="145" t="s">
        <v>307</v>
      </c>
      <c r="C12" s="145" t="s">
        <v>377</v>
      </c>
      <c r="D12" s="140">
        <v>1</v>
      </c>
      <c r="E12" s="140">
        <f>13525*2.5*1.25</f>
        <v>42265.625</v>
      </c>
      <c r="F12" s="142">
        <f>E12*D12</f>
        <v>42265.625</v>
      </c>
      <c r="G12" s="142">
        <v>0</v>
      </c>
      <c r="H12" s="142">
        <v>0</v>
      </c>
      <c r="I12" s="140">
        <f>E12*10%</f>
        <v>4226.5625</v>
      </c>
      <c r="J12" s="142">
        <v>0</v>
      </c>
      <c r="K12" s="142">
        <f>F12+G12+H12+I12+J12</f>
        <v>46492.1875</v>
      </c>
      <c r="L12" s="141">
        <f t="shared" ref="L12:L16" si="0">K12*0.15</f>
        <v>6973.828125</v>
      </c>
      <c r="M12" s="141">
        <f>K12+L12</f>
        <v>53466.015625</v>
      </c>
    </row>
    <row r="13" spans="1:13" s="139" customFormat="1" ht="14.25">
      <c r="A13" s="140">
        <v>2</v>
      </c>
      <c r="B13" s="146" t="s">
        <v>306</v>
      </c>
      <c r="C13" s="145" t="s">
        <v>378</v>
      </c>
      <c r="D13" s="140">
        <v>1</v>
      </c>
      <c r="E13" s="140">
        <f>E12*90%</f>
        <v>38039.0625</v>
      </c>
      <c r="F13" s="142">
        <f t="shared" ref="F13:F16" si="1">E13*D13</f>
        <v>38039.0625</v>
      </c>
      <c r="G13" s="140"/>
      <c r="H13" s="140"/>
      <c r="I13" s="140">
        <f>E13*10%</f>
        <v>3803.90625</v>
      </c>
      <c r="J13" s="140"/>
      <c r="K13" s="142">
        <f t="shared" ref="K13:K16" si="2">F13+G13+H13+I13+J13</f>
        <v>41842.96875</v>
      </c>
      <c r="L13" s="141">
        <f t="shared" si="0"/>
        <v>6276.4453125</v>
      </c>
      <c r="M13" s="141">
        <f t="shared" ref="M13:M16" si="3">K13+L13</f>
        <v>48119.4140625</v>
      </c>
    </row>
    <row r="14" spans="1:13" s="139" customFormat="1" ht="14.25">
      <c r="A14" s="140">
        <v>3</v>
      </c>
      <c r="B14" s="146" t="s">
        <v>302</v>
      </c>
      <c r="C14" s="145" t="s">
        <v>379</v>
      </c>
      <c r="D14" s="140">
        <v>1</v>
      </c>
      <c r="E14" s="140">
        <f>E12*90%</f>
        <v>38039.0625</v>
      </c>
      <c r="F14" s="142">
        <f t="shared" si="1"/>
        <v>38039.0625</v>
      </c>
      <c r="G14" s="140"/>
      <c r="H14" s="140"/>
      <c r="I14" s="140"/>
      <c r="J14" s="140"/>
      <c r="K14" s="142">
        <f t="shared" si="2"/>
        <v>38039.0625</v>
      </c>
      <c r="L14" s="141">
        <f t="shared" si="0"/>
        <v>5705.859375</v>
      </c>
      <c r="M14" s="141">
        <f t="shared" si="3"/>
        <v>43744.921875</v>
      </c>
    </row>
    <row r="15" spans="1:13" s="139" customFormat="1" ht="14.25">
      <c r="A15" s="140">
        <v>4</v>
      </c>
      <c r="B15" s="146" t="s">
        <v>308</v>
      </c>
      <c r="C15" s="145" t="s">
        <v>380</v>
      </c>
      <c r="D15" s="140">
        <v>1</v>
      </c>
      <c r="E15" s="140">
        <f>E12*80%</f>
        <v>33812.5</v>
      </c>
      <c r="F15" s="142">
        <f t="shared" si="1"/>
        <v>33812.5</v>
      </c>
      <c r="G15" s="140"/>
      <c r="H15" s="140"/>
      <c r="I15" s="140"/>
      <c r="J15" s="140"/>
      <c r="K15" s="142">
        <f t="shared" si="2"/>
        <v>33812.5</v>
      </c>
      <c r="L15" s="141">
        <f t="shared" si="0"/>
        <v>5071.875</v>
      </c>
      <c r="M15" s="141">
        <f t="shared" si="3"/>
        <v>38884.375</v>
      </c>
    </row>
    <row r="16" spans="1:13" s="139" customFormat="1" ht="14.25">
      <c r="A16" s="140">
        <v>5</v>
      </c>
      <c r="B16" s="147" t="s">
        <v>324</v>
      </c>
      <c r="C16" s="148" t="s">
        <v>381</v>
      </c>
      <c r="D16" s="140">
        <v>0.5</v>
      </c>
      <c r="E16" s="140">
        <f>E12*80%</f>
        <v>33812.5</v>
      </c>
      <c r="F16" s="142">
        <f t="shared" si="1"/>
        <v>16906.25</v>
      </c>
      <c r="G16" s="140"/>
      <c r="H16" s="140"/>
      <c r="I16" s="140">
        <f>E16*10%</f>
        <v>3381.25</v>
      </c>
      <c r="J16" s="140"/>
      <c r="K16" s="142">
        <f t="shared" si="2"/>
        <v>20287.5</v>
      </c>
      <c r="L16" s="141">
        <f t="shared" si="0"/>
        <v>3043.125</v>
      </c>
      <c r="M16" s="141">
        <f t="shared" si="3"/>
        <v>23330.625</v>
      </c>
    </row>
    <row r="17" spans="1:14" s="143" customFormat="1" ht="21" customHeight="1">
      <c r="A17" s="149"/>
      <c r="B17" s="50" t="s">
        <v>63</v>
      </c>
      <c r="C17" s="149"/>
      <c r="D17" s="149">
        <f t="shared" ref="D17:M17" si="4">SUM(D12:D16)</f>
        <v>4.5</v>
      </c>
      <c r="E17" s="149">
        <f t="shared" si="4"/>
        <v>185968.75</v>
      </c>
      <c r="F17" s="149">
        <f t="shared" si="4"/>
        <v>169062.5</v>
      </c>
      <c r="G17" s="149">
        <f t="shared" si="4"/>
        <v>0</v>
      </c>
      <c r="H17" s="149">
        <f t="shared" si="4"/>
        <v>0</v>
      </c>
      <c r="I17" s="150">
        <f t="shared" si="4"/>
        <v>11411.71875</v>
      </c>
      <c r="J17" s="149">
        <f t="shared" si="4"/>
        <v>0</v>
      </c>
      <c r="K17" s="150">
        <f t="shared" si="4"/>
        <v>180474.21875</v>
      </c>
      <c r="L17" s="150">
        <f t="shared" si="4"/>
        <v>27071.1328125</v>
      </c>
      <c r="M17" s="150">
        <f t="shared" si="4"/>
        <v>207545.3515625</v>
      </c>
      <c r="N17" s="280">
        <f>M17+пед.раб!AF24</f>
        <v>207545.3515625</v>
      </c>
    </row>
    <row r="22" spans="1:14">
      <c r="B22" t="s">
        <v>383</v>
      </c>
      <c r="G22" t="s">
        <v>382</v>
      </c>
    </row>
  </sheetData>
  <mergeCells count="5">
    <mergeCell ref="G6:H6"/>
    <mergeCell ref="I6:J6"/>
    <mergeCell ref="G7:H7"/>
    <mergeCell ref="I7:J7"/>
    <mergeCell ref="B4:L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УЧИТ</vt:lpstr>
      <vt:lpstr>УЧИТ (санат)</vt:lpstr>
      <vt:lpstr>пед.раб</vt:lpstr>
      <vt:lpstr>увсп</vt:lpstr>
      <vt:lpstr>обсл </vt:lpstr>
      <vt:lpstr>адм</vt:lpstr>
      <vt:lpstr>адм!Область_печати</vt:lpstr>
      <vt:lpstr>'обсл '!Область_печати</vt:lpstr>
      <vt:lpstr>пед.раб!Область_печати</vt:lpstr>
      <vt:lpstr>увсп!Область_печати</vt:lpstr>
      <vt:lpstr>УЧИТ!Область_печати</vt:lpstr>
      <vt:lpstr>'УЧИТ (санат)'!Область_печати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2019-09-23T10:01:56Z</dcterms:modified>
</cp:coreProperties>
</file>